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uno\Documents\0000 PPI\01 Setores\Outros\Irrigação\Baixio do Irecê\10 MEF Agrícola Codevasf\"/>
    </mc:Choice>
  </mc:AlternateContent>
  <xr:revisionPtr revIDLastSave="0" documentId="8_{ABDD757C-F7E2-4A06-9D98-9C18139C33B5}" xr6:coauthVersionLast="45" xr6:coauthVersionMax="45" xr10:uidLastSave="{00000000-0000-0000-0000-000000000000}"/>
  <bookViews>
    <workbookView xWindow="-120" yWindow="-120" windowWidth="20730" windowHeight="11160" activeTab="3" xr2:uid="{00000000-000D-0000-FFFF-FFFF00000000}"/>
  </bookViews>
  <sheets>
    <sheet name="Cronograma IUC" sheetId="28" r:id="rId1"/>
    <sheet name="Meio Ambiente" sheetId="31" r:id="rId2"/>
    <sheet name="Cronograma de Implantação" sheetId="10" r:id="rId3"/>
    <sheet name="Premissas Adotadas" sheetId="2" r:id="rId4"/>
    <sheet name="DemFin Proj" sheetId="26" r:id="rId5"/>
    <sheet name="DemFin Acio" sheetId="30" r:id="rId6"/>
    <sheet name="Financiamento" sheetId="29" r:id="rId7"/>
    <sheet name="Depreciação" sheetId="20" r:id="rId8"/>
    <sheet name="Soja - Agrianual_2020" sheetId="45" r:id="rId9"/>
    <sheet name="Milho - Agrianual_2020" sheetId="44" r:id="rId10"/>
    <sheet name="Algodão - Agrianual_2020" sheetId="40" r:id="rId11"/>
    <sheet name="Uva - Agrianual_2020" sheetId="46" r:id="rId12"/>
    <sheet name="Manga - Agrianual_2020" sheetId="43" r:id="rId13"/>
    <sheet name="Banana - Agrianual_2020" sheetId="41" r:id="rId14"/>
    <sheet name="Banco de Dados - Grãos" sheetId="5" r:id="rId15"/>
    <sheet name="Sistema de Irrigação" sheetId="47" r:id="rId16"/>
  </sheets>
  <externalReferences>
    <externalReference r:id="rId17"/>
    <externalReference r:id="rId18"/>
    <externalReference r:id="rId19"/>
    <externalReference r:id="rId20"/>
    <externalReference r:id="rId21"/>
  </externalReferences>
  <definedNames>
    <definedName name="__123Graph_A" hidden="1">[1]Assum!$B$12:$B$19</definedName>
    <definedName name="__123Graph_B" hidden="1">[1]Assum!$C$12:$C$19</definedName>
    <definedName name="__123Graph_C" hidden="1">[1]Assum!$D$12:$D$19</definedName>
    <definedName name="__123Graph_D" hidden="1">[1]Assum!$E$12:$E$19</definedName>
    <definedName name="__123Graph_E" hidden="1">[1]Assum!$F$12:$F$19</definedName>
    <definedName name="_1__123Graph_BCHART_5" hidden="1">[2]MEX95IB!#REF!</definedName>
    <definedName name="_Fill" hidden="1">#REF!</definedName>
    <definedName name="_Key1" hidden="1">#REF!</definedName>
    <definedName name="_Order1" hidden="1">255</definedName>
    <definedName name="_Order2" hidden="1">0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aa" localSheetId="0" hidden="1">{"'REL CUSTODIF'!$B$1:$H$72"}</definedName>
    <definedName name="aa" hidden="1">{"'REL CUSTODIF'!$B$1:$H$72"}</definedName>
    <definedName name="AB_ATR">#REF!</definedName>
    <definedName name="AD_RM">[3]Parameters!$C$22</definedName>
    <definedName name="AM_CAPEX">[3]Parameters!$C$30</definedName>
    <definedName name="antonio" localSheetId="0" hidden="1">{#N/A,"70% Success",FALSE,"Sales Forecast";#N/A,#N/A,FALSE,"Sheet2"}</definedName>
    <definedName name="antonio" hidden="1">{#N/A,"70% Success",FALSE,"Sales Forecast";#N/A,#N/A,FALSE,"Sheet2"}</definedName>
    <definedName name="_xlnm.Print_Area" localSheetId="10">'Algodão - Agrianual_2020'!$A$1:$K$88</definedName>
    <definedName name="Ativado1">[4]Controle!$E$3</definedName>
    <definedName name="Ativado10">[4]Controle!$E$12</definedName>
    <definedName name="Ativado11">[4]Controle!$E$13</definedName>
    <definedName name="Ativado12">[4]Controle!$E$14</definedName>
    <definedName name="Ativado13">[4]Controle!$E$15</definedName>
    <definedName name="Ativado14">[4]Controle!$E$16</definedName>
    <definedName name="Ativado15">[4]Controle!$E$17</definedName>
    <definedName name="Ativado16">[4]Controle!$E$18</definedName>
    <definedName name="Ativado17">[4]Controle!$E$19</definedName>
    <definedName name="Ativado18">[4]Controle!$E$20</definedName>
    <definedName name="Ativado19">[4]Controle!$E$21</definedName>
    <definedName name="Ativado2">[4]Controle!$E$4</definedName>
    <definedName name="Ativado20">[4]Controle!$E$22</definedName>
    <definedName name="Ativado21">[4]Controle!$E$23</definedName>
    <definedName name="Ativado22">[4]Controle!$E$24</definedName>
    <definedName name="Ativado23">[4]Controle!$E$25</definedName>
    <definedName name="Ativado24">[4]Controle!$E$26</definedName>
    <definedName name="Ativado25">[4]Controle!$E$27</definedName>
    <definedName name="Ativado26">[4]Controle!$E$28</definedName>
    <definedName name="Ativado27">[4]Controle!$E$29</definedName>
    <definedName name="Ativado28">[4]Controle!$E$30</definedName>
    <definedName name="Ativado29">[4]Controle!$E$31</definedName>
    <definedName name="Ativado3">[4]Controle!$E$5</definedName>
    <definedName name="Ativado30">[4]Controle!$E$32</definedName>
    <definedName name="Ativado31">[4]Controle!$E$33</definedName>
    <definedName name="Ativado32">[4]Controle!$E$34</definedName>
    <definedName name="Ativado33">[4]Controle!$E$35</definedName>
    <definedName name="Ativado34">[4]Controle!$E$36</definedName>
    <definedName name="Ativado35">[4]Controle!$E$37</definedName>
    <definedName name="Ativado36">[4]Controle!$E$38</definedName>
    <definedName name="Ativado37">[4]Controle!$E$39</definedName>
    <definedName name="Ativado38">[4]Controle!$E$40</definedName>
    <definedName name="Ativado39">[4]Controle!$E$41</definedName>
    <definedName name="Ativado4">[4]Controle!$E$6</definedName>
    <definedName name="Ativado40">[4]Controle!$E$42</definedName>
    <definedName name="Ativado41">[4]Controle!$E$43</definedName>
    <definedName name="Ativado42">[4]Controle!$E$44</definedName>
    <definedName name="Ativado43">[4]Controle!$E$45</definedName>
    <definedName name="Ativado44">[4]Controle!$E$46</definedName>
    <definedName name="Ativado45">[4]Controle!$E$47</definedName>
    <definedName name="Ativado5">[4]Controle!$E$7</definedName>
    <definedName name="Ativado6">[4]Controle!$E$8</definedName>
    <definedName name="Ativado7">[4]Controle!$E$9</definedName>
    <definedName name="Ativado8">[4]Controle!$E$10</definedName>
    <definedName name="Ativado9">[4]Controle!$E$11</definedName>
    <definedName name="b" localSheetId="0" hidden="1">Word</definedName>
    <definedName name="b" localSheetId="5" hidden="1">Word</definedName>
    <definedName name="b" hidden="1">Word</definedName>
    <definedName name="BF_DEPR">[3]Parameters!$C$20</definedName>
    <definedName name="BLPH1" hidden="1">#REF!</definedName>
    <definedName name="BLPH10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4" hidden="1">#REF!</definedName>
    <definedName name="BLPH5" hidden="1">#REF!</definedName>
    <definedName name="BLPH7" hidden="1">#REF!</definedName>
    <definedName name="BLPH8" hidden="1">#REF!</definedName>
    <definedName name="BLPH9" hidden="1">#REF!</definedName>
    <definedName name="c_c" localSheetId="0" hidden="1">{"'REL CUSTODIF'!$B$1:$H$72"}</definedName>
    <definedName name="c_c" hidden="1">{"'REL CUSTODIF'!$B$1:$H$72"}</definedName>
    <definedName name="CANE_AMORT">[3]Parameters!$C$18</definedName>
    <definedName name="carlos" localSheetId="0" hidden="1">{#N/A,"10% Success",FALSE,"Sales Forecast";#N/A,#N/A,FALSE,"Sheet2"}</definedName>
    <definedName name="carlos" hidden="1">{#N/A,"10% Success",FALSE,"Sales Forecast";#N/A,#N/A,FALSE,"Sheet2"}</definedName>
    <definedName name="claudia" localSheetId="0" hidden="1">{#N/A,"70% Success",FALSE,"Sales Forecast";#N/A,#N/A,FALSE,"Sheet2"}</definedName>
    <definedName name="claudia" hidden="1">{#N/A,"70% Success",FALSE,"Sales Forecast";#N/A,#N/A,FALSE,"Sheet2"}</definedName>
    <definedName name="Concessão_Malha_Sul" localSheetId="0" hidden="1">{#N/A,"100% Success",TRUE,"Sales Forecast";#N/A,#N/A,TRUE,"Sheet2"}</definedName>
    <definedName name="Concessão_Malha_Sul" hidden="1">{#N/A,"100% Success",TRUE,"Sales Forecast";#N/A,#N/A,TRUE,"Sheet2"}</definedName>
    <definedName name="coucou" localSheetId="0" hidden="1">{#N/A,#N/A,TRUE,"Cover sheet";#N/A,#N/A,TRUE,"INPUTS";#N/A,#N/A,TRUE,"OUTPUTS";#N/A,#N/A,TRUE,"VALUATION"}</definedName>
    <definedName name="coucou" hidden="1">{#N/A,#N/A,TRUE,"Cover sheet";#N/A,#N/A,TRUE,"INPUTS";#N/A,#N/A,TRUE,"OUTPUTS";#N/A,#N/A,TRUE,"VALUATION"}</definedName>
    <definedName name="d" localSheetId="0" hidden="1">{#N/A,"70% Success",FALSE,"Sales Forecast";#N/A,#N/A,FALSE,"Sheet2"}</definedName>
    <definedName name="d" hidden="1">{#N/A,"70% Success",FALSE,"Sales Forecast";#N/A,#N/A,FALSE,"Sheet2"}</definedName>
    <definedName name="ev.Calculation" hidden="1">-4135</definedName>
    <definedName name="ev.Initialized" hidden="1">FALSE</definedName>
    <definedName name="f" localSheetId="0" hidden="1">{"'REL CUSTODIF'!$B$1:$H$72"}</definedName>
    <definedName name="f" hidden="1">{"'REL CUSTODIF'!$B$1:$H$72"}</definedName>
    <definedName name="fad" localSheetId="0" hidden="1">{#N/A,"70% Success",FALSE,"Sales Forecast";#N/A,#N/A,FALSE,"Sheet2"}</definedName>
    <definedName name="fad" hidden="1">{#N/A,"70% Success",FALSE,"Sales Forecast";#N/A,#N/A,FALSE,"Sheet2"}</definedName>
    <definedName name="fill1" hidden="1">#REF!</definedName>
    <definedName name="Frank" localSheetId="0" hidden="1">{#N/A,#N/A,TRUE,"Cover sheet";#N/A,#N/A,TRUE,"DCF analysis";#N/A,#N/A,TRUE,"WACC calculation"}</definedName>
    <definedName name="Frank" hidden="1">{#N/A,#N/A,TRUE,"Cover sheet";#N/A,#N/A,TRUE,"DCF analysis";#N/A,#N/A,TRUE,"WACC calculation"}</definedName>
    <definedName name="FX_AVG">[3]Parameters!$C$23</definedName>
    <definedName name="general_exp." localSheetId="0" hidden="1">{#N/A,"100% Success",TRUE,"Sales Forecast";#N/A,#N/A,TRUE,"Sheet2"}</definedName>
    <definedName name="general_exp." hidden="1">{#N/A,"100% Success",TRUE,"Sales Forecast";#N/A,#N/A,TRUE,"Sheet2"}</definedName>
    <definedName name="gogo" localSheetId="0" hidden="1">{#N/A,#N/A,TRUE,"Cover sheet";#N/A,#N/A,TRUE,"INPUTS";#N/A,#N/A,TRUE,"OUTPUTS";#N/A,#N/A,TRUE,"VALUATION"}</definedName>
    <definedName name="gogo" hidden="1">{#N/A,#N/A,TRUE,"Cover sheet";#N/A,#N/A,TRUE,"INPUTS";#N/A,#N/A,TRUE,"OUTPUTS";#N/A,#N/A,TRUE,"VALUATION"}</definedName>
    <definedName name="Gupob01Real" localSheetId="0" hidden="1">{#N/A,#N/A,FALSE,"Suprimentos";#N/A,#N/A,FALSE,"Medicina e Segurança";#N/A,#N/A,FALSE,"Administração";#N/A,#N/A,FALSE,"Meio Ambiente";#N/A,#N/A,FALSE,"Operação (Mina)";#N/A,#N/A,FALSE,"Operação (Porto)"}</definedName>
    <definedName name="Gupob01Real" hidden="1">{#N/A,#N/A,FALSE,"Suprimentos";#N/A,#N/A,FALSE,"Medicina e Segurança";#N/A,#N/A,FALSE,"Administração";#N/A,#N/A,FALSE,"Meio Ambiente";#N/A,#N/A,FALSE,"Operação (Mina)";#N/A,#N/A,FALSE,"Operação (Porto)"}</definedName>
    <definedName name="HE_TRS">[3]Parameters!$C$12</definedName>
    <definedName name="hgjg" localSheetId="0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gjg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TML_CodePage" hidden="1">1252</definedName>
    <definedName name="HTML_Control" localSheetId="0" hidden="1">{"'REL CUSTODIF'!$B$1:$H$72"}</definedName>
    <definedName name="HTML_Control" hidden="1">{"'REL CUSTODIF'!$B$1:$H$72"}</definedName>
    <definedName name="HTML_Description" hidden="1">""</definedName>
    <definedName name="HTML_Email" hidden="1">""</definedName>
    <definedName name="HTML_Header" hidden="1">"REL CUSTODIF"</definedName>
    <definedName name="HTML_LastUpdate" hidden="1">"25/09/98"</definedName>
    <definedName name="HTML_LineAfter" hidden="1">FALSE</definedName>
    <definedName name="HTML_LineBefore" hidden="1">FALSE</definedName>
    <definedName name="HTML_Name" hidden="1">"CVRD"</definedName>
    <definedName name="HTML_OBDlg2" hidden="1">TRUE</definedName>
    <definedName name="HTML_OBDlg4" hidden="1">TRUE</definedName>
    <definedName name="HTML_OS" hidden="1">0</definedName>
    <definedName name="HTML_PathFile" hidden="1">"F:\SISTEMAS\CUSTO\Custo.htm"</definedName>
    <definedName name="HTML_Title" hidden="1">"CUSTO98B"</definedName>
    <definedName name="IQ_1_4_FAMILY_RES_DOM_FFIEC" hidden="1">"c15269"</definedName>
    <definedName name="IQ_ACCEPTANCES_OTHER_FOREIGN_BANKS_LL_REC_FFIEC" hidden="1">"c15293"</definedName>
    <definedName name="IQ_ACCEPTANCES_OTHER_US_BANKS_LL_REC_FFIEC" hidden="1">"c15292"</definedName>
    <definedName name="IQ_ADDIN" hidden="1">"AUTO"</definedName>
    <definedName name="IQ_ADDITIONS_NON_ACCRUAL_ASSET_DURING_QTR_FFIEC" hidden="1">"c15349"</definedName>
    <definedName name="IQ_AG_PROD_FARM_LOANS_DOM_QUARTERLY_AVG_FFIEC" hidden="1">"c15477"</definedName>
    <definedName name="IQ_ALL_OTHER_DEPOSITS_FOREIGN_DEP_FFIEC" hidden="1">"c15347"</definedName>
    <definedName name="IQ_ALL_OTHER_INVEST_UNCONSOL_SUBS_FFIEC" hidden="1">"c15275"</definedName>
    <definedName name="IQ_AVAIL_FOR_SALE_FAIR_VALUE_TOT_FFIEC" hidden="1">"c15399"</definedName>
    <definedName name="IQ_AVAIL_FOR_SALE_LEVEL_1_FFIEC" hidden="1">"c15421"</definedName>
    <definedName name="IQ_AVAIL_FOR_SALE_LEVEL_2_FFIEC" hidden="1">"c15434"</definedName>
    <definedName name="IQ_AVAIL_FOR_SALE_LEVEL_3_FFIEC" hidden="1">"c15447"</definedName>
    <definedName name="IQ_AVERAGE_DEPOSITS" hidden="1">"c15256"</definedName>
    <definedName name="IQ_AVERAGE_INTEREST_BEARING_DEPOSITS" hidden="1">"c15254"</definedName>
    <definedName name="IQ_AVERAGE_LOANS_HFI" hidden="1">"c15251"</definedName>
    <definedName name="IQ_AVERAGE_LOANS_HFS" hidden="1">"c15252"</definedName>
    <definedName name="IQ_AVERAGE_NON_INTEREST_BEARING_DEPOSITS" hidden="1">"c15255"</definedName>
    <definedName name="IQ_BANKS_FOREIGN_COUNTRIES_NON_TRANS_ACCTS_FFIEC" hidden="1">"c15326"</definedName>
    <definedName name="IQ_BANKS_FOREIGN_COUNTRIES_TRANS_ACCTS_FFIEC" hidden="1">"c15318"</definedName>
    <definedName name="IQ_BOARD_MEMBER_ASSISTANT_EMAIL" hidden="1">"c15179"</definedName>
    <definedName name="IQ_BOARD_MEMBER_ASSISTANT_FAX" hidden="1">"c15181"</definedName>
    <definedName name="IQ_BOARD_MEMBER_ASSISTANT_NAME" hidden="1">"c15178"</definedName>
    <definedName name="IQ_BOARD_MEMBER_ASSISTANT_PHONE" hidden="1">"c15180"</definedName>
    <definedName name="IQ_BOARD_MEMBER_DIRECT_FAX" hidden="1">"c15176"</definedName>
    <definedName name="IQ_BOARD_MEMBER_DIRECT_PHONE" hidden="1">"c15175"</definedName>
    <definedName name="IQ_BOARD_MEMBER_EMAIL" hidden="1">"c15177"</definedName>
    <definedName name="IQ_BOARD_MEMBER_MAIN_FAX" hidden="1">"c15174"</definedName>
    <definedName name="IQ_BOARD_MEMBER_MAIN_PHONE" hidden="1">"c15173"</definedName>
    <definedName name="IQ_BOARD_MEMBER_OFFICE_ADDRESS" hidden="1">"c15172"</definedName>
    <definedName name="IQ_BROKER_DEPOSIT_LESS_THAN_100000_1_YR_LESS_FFIEC" hidden="1">"c15307"</definedName>
    <definedName name="IQ_BROKER_DEPOSIT_LESS_THAN_100000_1_YR_MORE_FFIEC" hidden="1">"c15308"</definedName>
    <definedName name="IQ_BROKER_DEPOSIT_LESS_THAN_100000_FFIEC" hidden="1">"c15306"</definedName>
    <definedName name="IQ_BROKER_DEPOSIT_MORE_THAN_100000_1_YR_LESS_FFIEC" hidden="1">"c15310"</definedName>
    <definedName name="IQ_BROKER_DEPOSIT_MORE_THAN_100000_1_YR_MORE_FFIEC" hidden="1">"c15311"</definedName>
    <definedName name="IQ_BROKER_DEPOSIT_MORE_THAN_100000_FFIEC" hidden="1">"c15309"</definedName>
    <definedName name="IQ_CAPITAL_ALLOCATION_ADJUSTMENT_FOREIGN_FFIEC" hidden="1">"c15389"</definedName>
    <definedName name="IQ_CASH_BANKS_FOREIGN_COUNTRIES_DOM_FFIEC" hidden="1">"c15289"</definedName>
    <definedName name="IQ_CASH_COLLECTION_UNPOSTED_DEBITS_CURRENCY_FFIEC" hidden="1">"c15279"</definedName>
    <definedName name="IQ_CASH_COLLECTION_UNPOSTED_DEBITS_DOM_FFIEC" hidden="1">"c15286"</definedName>
    <definedName name="IQ_CASH_DEPOSITORY_INSTIT_US_DOM_FFIEC" hidden="1">"c15288"</definedName>
    <definedName name="IQ_CASH_DUE_OTHER_FED_RESERVE_BANKS_DOM_FFIEC" hidden="1">"c15290"</definedName>
    <definedName name="IQ_CASH_DUE_OTHER_FED_RESERVE_BANKS_FFIEC" hidden="1">"c15284"</definedName>
    <definedName name="IQ_CASH_DUE_US_BRANCH_FOREIGN_BANK_FFIEC" hidden="1">"c15280"</definedName>
    <definedName name="IQ_CASH_FOREIGN_BRANCH_OTHER_US_BANKS_FFIEC" hidden="1">"c15282"</definedName>
    <definedName name="IQ_CASH_OTHER_BANKS_FOREIGN_COUNTRIES_FFIEC" hidden="1">"c15283"</definedName>
    <definedName name="IQ_CASH_OTHER_US_COMM_BANK_DEP_INSTIT_FFIEC" hidden="1">"c15281"</definedName>
    <definedName name="IQ_CASH_STRUCTURED_PRODUCTS_AVAIL_SALE_FFIEC" hidden="1">"c15263"</definedName>
    <definedName name="IQ_CASH_STRUCTURED_PRODUCTS_FFIEC" hidden="1">"c15260"</definedName>
    <definedName name="IQ_CDS_COUPON" hidden="1">"c15234"</definedName>
    <definedName name="IQ_CDS_NEXT_SERIES_ID" hidden="1">"c15231"</definedName>
    <definedName name="IQ_CDS_PREV_SERIES_ID" hidden="1">"c15232"</definedName>
    <definedName name="IQ_CDS_PRICE_TYPE" hidden="1">"c15233"</definedName>
    <definedName name="IQ_CEO_ID" hidden="1">"c15210"</definedName>
    <definedName name="IQ_CEO_NAME" hidden="1">"c15209"</definedName>
    <definedName name="IQ_CERTIFIED_OFFICIAL_CHECKS_TRANS_ACCTS_FFIEC" hidden="1">"c15320"</definedName>
    <definedName name="IQ_CFO_ID" hidden="1">"c15212"</definedName>
    <definedName name="IQ_CFO_NAME" hidden="1">"c15211"</definedName>
    <definedName name="IQ_CH" hidden="1">110000</definedName>
    <definedName name="IQ_CHAIRMAN_ID" hidden="1">"c15218"</definedName>
    <definedName name="IQ_CHAIRMAN_NAME" hidden="1">"c15217"</definedName>
    <definedName name="IQ_CHANGE_DEF_TAX_TOTAL" hidden="1">"c15557"</definedName>
    <definedName name="IQ_CLOSED_END_SEC_1_4_RESIDENT_CHARGE_OFFS_FFIEC" hidden="1">"c15397"</definedName>
    <definedName name="IQ_CLOSED_END_SEC_1_4_RESIDENT_DUE_30_89_FFIEC" hidden="1">"c15413"</definedName>
    <definedName name="IQ_CLOSED_END_SEC_1_4_RESIDENT_DUE_90_FFIEC" hidden="1">"c15417"</definedName>
    <definedName name="IQ_CLOSED_END_SEC_1_4_RESIDENT_NON_ACCRUAL_FFIEC" hidden="1">"c15460"</definedName>
    <definedName name="IQ_CLOSED_END_SEC_1_4_RESIDENT_RECOV_FFIEC" hidden="1">"c15398"</definedName>
    <definedName name="IQ_COMM_BANKS_OTHER_DEP_INST_US_TRANS_ACCTS_FFIEC" hidden="1">"c15317"</definedName>
    <definedName name="IQ_COMM_BANKS_OTHER_INST_US_NON_TRANS_ACCTS_FFIEC" hidden="1">"c15325"</definedName>
    <definedName name="IQ_COMMERCIAL_INDUSTRIAL_DOM_QUARTERLY_AVG_FFIEC" hidden="1">"c15478"</definedName>
    <definedName name="IQ_COMMERCIAL_INDUSTRIAL_NON_US_DUE_30_89_FFIEC" hidden="1">"c15415"</definedName>
    <definedName name="IQ_COMMERCIAL_INDUSTRIAL_NON_US_DUE_90_FFIEC" hidden="1">"c15419"</definedName>
    <definedName name="IQ_COMMERCIAL_INDUSTRIAL_NON_US_NON_ACCRUAL_FFIEC" hidden="1">"c15464"</definedName>
    <definedName name="IQ_COMMERCIAL_INDUSTRIAL_US_DUE_30_89_FFIEC" hidden="1">"c15414"</definedName>
    <definedName name="IQ_COMMERCIAL_INDUSTRIAL_US_DUE_90_FFIEC" hidden="1">"c15418"</definedName>
    <definedName name="IQ_COMMERCIAL_INDUSTRIAL_US_NON_ACCRUAL_FFIEC" hidden="1">"c15463"</definedName>
    <definedName name="IQ_COMPANY_TICKER_NO_EXCH" hidden="1">"c15490"</definedName>
    <definedName name="IQ_CONSOLIDATED_NI_FOREIGN_FFIEC" hidden="1">"c15396"</definedName>
    <definedName name="IQ_CONSTRUCTION_LAND_DEV_DOM_FFIEC" hidden="1">"c15267"</definedName>
    <definedName name="IQ_COO_ID" hidden="1">"c15222"</definedName>
    <definedName name="IQ_COO_NAME" hidden="1">"c15221"</definedName>
    <definedName name="IQ_CORE_TIER_ONE_CAPITAL" hidden="1">"c15244"</definedName>
    <definedName name="IQ_CORE_TIER_ONE_CAPITAL_RATIO" hidden="1">"c15240"</definedName>
    <definedName name="IQ_COVERAGE_RATIO" hidden="1">"c15243"</definedName>
    <definedName name="IQ_CQ" hidden="1">5000</definedName>
    <definedName name="IQ_CREDIT_CARD_LOANS_DOM_QUARTERLY_AVG_FFIEC" hidden="1">"c15480"</definedName>
    <definedName name="IQ_CURRENCY_COIN_DOM_FFIEC" hidden="1">"c15287"</definedName>
    <definedName name="IQ_CY" hidden="1">10000</definedName>
    <definedName name="IQ_DEPOSITS_FOREIGN_BANKS_FOREIGN_AGENCIES_FFIEC" hidden="1">"c15344"</definedName>
    <definedName name="IQ_DERIVATIVE_ASSETS_FAIR_VALUE_TOT_FFIEC" hidden="1">"c15403"</definedName>
    <definedName name="IQ_DERIVATIVE_ASSETS_LEVEL_1_FFIEC" hidden="1">"c15425"</definedName>
    <definedName name="IQ_DERIVATIVE_ASSETS_LEVEL_2_FFIEC" hidden="1">"c15438"</definedName>
    <definedName name="IQ_DERIVATIVE_ASSETS_LEVEL_3_FFIEC" hidden="1">"c15451"</definedName>
    <definedName name="IQ_DERIVATIVE_LIABILITIES_FAIR_VALUE_TOT_FFIEC" hidden="1">"c15407"</definedName>
    <definedName name="IQ_DERIVATIVE_LIABILITIES_LEVEL_1_FFIEC" hidden="1">"c15429"</definedName>
    <definedName name="IQ_DERIVATIVE_LIABILITIES_LEVEL_2_FFIEC" hidden="1">"c15442"</definedName>
    <definedName name="IQ_DERIVATIVE_LIABILITIES_LEVEL_3_FFIEC" hidden="1">"c15455"</definedName>
    <definedName name="IQ_DIRECT_INDIRECT_RE_VENTURES_FFIEC" hidden="1">"c15266"</definedName>
    <definedName name="IQ_DIRECT_INDIRECT_RE_VENTURES_UNCONSOL_FFIEC" hidden="1">"c15274"</definedName>
    <definedName name="IQ_ELIMINATIONS_CONSOL_OFFICES_FOREIGN_FFIEC" hidden="1">"c15395"</definedName>
    <definedName name="IQ_EQUITY_LIST" hidden="1">"c15158"</definedName>
    <definedName name="IQ_EQUITY_SECURITIES_QUARTERLY_AVG_FFIEC" hidden="1">"c15474"</definedName>
    <definedName name="IQ_EQUITY_TIER_ONE_CAPITAL" hidden="1">"c15246"</definedName>
    <definedName name="IQ_EQUITY_TIER_ONE_CAPITAL_RATIO" hidden="1">"c15242"</definedName>
    <definedName name="IQ_EXTRA_ITEMS_OTHER_ADJUSTMENTS_FOREIGN_FFIEC" hidden="1">"c15392"</definedName>
    <definedName name="IQ_FARMLAND_DOM_FFIEC" hidden="1">"c15268"</definedName>
    <definedName name="IQ_FED_FUND_PURCHASED_SEC_SOLD_REPURCHASE_FFIEC" hidden="1">"c15489"</definedName>
    <definedName name="IQ_FED_FUND_SOLD_SEC_PURCHASED_RESELL_FFIEC" hidden="1">"c15488"</definedName>
    <definedName name="IQ_FED_FUNDS_PURCH_SEC_SOLD_FAIR_VALUE_TOT_FFIEC" hidden="1">"c15406"</definedName>
    <definedName name="IQ_FED_FUNDS_PURCH_SEC_SOLD_LEVEL_1_FFIEC" hidden="1">"c15428"</definedName>
    <definedName name="IQ_FED_FUNDS_PURCH_SEC_SOLD_LEVEL_2_FFIEC" hidden="1">"c15441"</definedName>
    <definedName name="IQ_FED_FUNDS_PURCH_SEC_SOLD_LEVEL_3_FFIEC" hidden="1">"c15454"</definedName>
    <definedName name="IQ_FED_FUNDS_SOLD_SEC_PURCH_FAIR_VALUE_TOT_FFIEC" hidden="1">"c15402"</definedName>
    <definedName name="IQ_FED_FUNDS_SOLD_SEC_PURCH_LEVEL_1_FFIEC" hidden="1">"c15424"</definedName>
    <definedName name="IQ_FED_FUNDS_SOLD_SEC_PURCH_LEVEL_2_FFIEC" hidden="1">"c15437"</definedName>
    <definedName name="IQ_FED_FUNDS_SOLD_SEC_PURCH_LEVEL_3_FFIEC" hidden="1">"c15450"</definedName>
    <definedName name="IQ_FEES_OTHER_INCOME" hidden="1">"c15257"</definedName>
    <definedName name="IQ_FH" hidden="1">100000</definedName>
    <definedName name="IQ_FORECLOSED_PROP_GNMA_LOANS_FFIEC" hidden="1">"c15272"</definedName>
    <definedName name="IQ_FOREIGN_GOVT_OFFICIAL_INST_FOREIGN_DEP_FFIEC" hidden="1">"c15345"</definedName>
    <definedName name="IQ_FOREIGN_GOVT_OFFICIAL_INST_NON_TRANS_ACCTS_FFIEC" hidden="1">"c15327"</definedName>
    <definedName name="IQ_FOREIGN_GOVT_OFFICIAL_INST_TRANS_ACCTS_FFIEC" hidden="1">"c15319"</definedName>
    <definedName name="IQ_FQ" hidden="1">500</definedName>
    <definedName name="IQ_FULLY_INSURED_BROKERED_DEPOSITS_FFIEC" hidden="1">"c15305"</definedName>
    <definedName name="IQ_FUND_NAV" hidden="1">"c15225"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AP_EST_CIQ" hidden="1">"c13924"</definedName>
    <definedName name="IQ_GAIN_LOSS_HTM_AFS_SECURITIES_FOREIGN_FFIEC" hidden="1">"c15384"</definedName>
    <definedName name="IQ_GENERAL_ALLOWANCE" hidden="1">"c15248"</definedName>
    <definedName name="IQ_HYBRID_CAPITAL" hidden="1">"c15245"</definedName>
    <definedName name="IQ_HYBRID_STRUCTURED_PRODUCTS_AVAIL_SALE_FFIEC" hidden="1">"c15265"</definedName>
    <definedName name="IQ_HYBRID_STRUCTURED_PRODUCTS_FFIEC" hidden="1">"c15262"</definedName>
    <definedName name="IQ_IB_ADVISORY_UNDERWRITING_FEES_FOREIGN_FFIEC" hidden="1">"c15378"</definedName>
    <definedName name="IQ_IBF_COMM_INDUST_LOANS_FFIEC" hidden="1">"c15298"</definedName>
    <definedName name="IQ_IBF_DEPOSIT_LIABILITIES_DUE_TO_BANKS_FFIEC" hidden="1">"c15300"</definedName>
    <definedName name="IQ_IMPAIRED_LOANS" hidden="1">"c15250"</definedName>
    <definedName name="IQ_INCOME_TAX_FOREIGN_FFIEC" hidden="1">"c15391"</definedName>
    <definedName name="IQ_INDEX_CURRENCY" hidden="1">"c15224"</definedName>
    <definedName name="IQ_INDEX_TYPE" hidden="1">"c15223"</definedName>
    <definedName name="IQ_INDIVIDUAL" hidden="1">"c15182"</definedName>
    <definedName name="IQ_INDIVIDUAL_ACTIVE_BOARD_MEMBERSHIPS" hidden="1">"c15201"</definedName>
    <definedName name="IQ_INDIVIDUAL_ACTIVE_PRO_AFFILIATIONS" hidden="1">"c15199"</definedName>
    <definedName name="IQ_INDIVIDUAL_AGE" hidden="1">"c15191"</definedName>
    <definedName name="IQ_INDIVIDUAL_ASSISTANT_EMAIL" hidden="1">"c15206"</definedName>
    <definedName name="IQ_INDIVIDUAL_ASSISTANT_FAX" hidden="1">"c15208"</definedName>
    <definedName name="IQ_INDIVIDUAL_ASSISTANT_NAME" hidden="1">"c15205"</definedName>
    <definedName name="IQ_INDIVIDUAL_ASSISTANT_PHONE" hidden="1">"c15207"</definedName>
    <definedName name="IQ_INDIVIDUAL_BACKGROUND" hidden="1">"c15184"</definedName>
    <definedName name="IQ_INDIVIDUAL_DIRECT_FAX" hidden="1">"c15189"</definedName>
    <definedName name="IQ_INDIVIDUAL_DIRECT_PHONE" hidden="1">"c15188"</definedName>
    <definedName name="IQ_INDIVIDUAL_EDUCATION" hidden="1">"c15203"</definedName>
    <definedName name="IQ_INDIVIDUAL_EMAIL" hidden="1">"c15193"</definedName>
    <definedName name="IQ_INDIVIDUAL_FAMILY_LOAN_DOM_QUARTERLY_AVG_FFIEC" hidden="1">"c15479"</definedName>
    <definedName name="IQ_INDIVIDUAL_HOME_ADDRESS" hidden="1">"c15194"</definedName>
    <definedName name="IQ_INDIVIDUAL_HOME_FAX" hidden="1">"c15196"</definedName>
    <definedName name="IQ_INDIVIDUAL_HOME_PHONE" hidden="1">"c15195"</definedName>
    <definedName name="IQ_INDIVIDUAL_MAIN_FAX" hidden="1">"c15187"</definedName>
    <definedName name="IQ_INDIVIDUAL_MAIN_PHONE" hidden="1">"c15186"</definedName>
    <definedName name="IQ_INDIVIDUAL_MOBILE" hidden="1">"c15198"</definedName>
    <definedName name="IQ_INDIVIDUAL_NICKNAME" hidden="1">"c15192"</definedName>
    <definedName name="IQ_INDIVIDUAL_NOTES" hidden="1">"c15204"</definedName>
    <definedName name="IQ_INDIVIDUAL_OFFICE_ADDRESS" hidden="1">"c15185"</definedName>
    <definedName name="IQ_INDIVIDUAL_OTHER_PHONE" hidden="1">"c15197"</definedName>
    <definedName name="IQ_INDIVIDUAL_PARTNER_CORP_NON_TRANS_ACCTS_FFIEC" hidden="1">"c15322"</definedName>
    <definedName name="IQ_INDIVIDUAL_PARTNER_CORP_TRANS_ACCTS_FFIEC" hidden="1">"c15314"</definedName>
    <definedName name="IQ_INDIVIDUAL_PARTNER_CORPS_FOREIGN_DEP_FFIEC" hidden="1">"c15342"</definedName>
    <definedName name="IQ_INDIVIDUAL_PRIOR_BOARD_MEMBERSHIPS" hidden="1">"c15202"</definedName>
    <definedName name="IQ_INDIVIDUAL_PRIOR_PRO_AFFILIATIONS" hidden="1">"c15200"</definedName>
    <definedName name="IQ_INDIVIDUAL_SPECIALTY" hidden="1">"c15190"</definedName>
    <definedName name="IQ_INDIVIDUAL_TITLE" hidden="1">"c15183"</definedName>
    <definedName name="IQ_INT_FEE_INC_ACCEPTANCE_OTHER_BANKS_DOM_FFIEC" hidden="1">"c15357"</definedName>
    <definedName name="IQ_INT_FEE_INC_AGRICULTURE_LOANS_FARMERS_DOM_FFIEC" hidden="1">"c15355"</definedName>
    <definedName name="IQ_INT_FEE_INC_COMM_IND_LOANS_DOM_FFIEC" hidden="1">"c15356"</definedName>
    <definedName name="IQ_INT_FEE_INC_CREDIT_CARDS_DOM_FFIEC" hidden="1">"c15358"</definedName>
    <definedName name="IQ_INT_FEE_INC_DEPOSITORY_LOANS_DOM_FFIEC" hidden="1">"c15354"</definedName>
    <definedName name="IQ_INT_FEE_INC_FOREIGN_GOVT_LOANS_DOM_FFIEC" hidden="1">"c15360"</definedName>
    <definedName name="IQ_INT_FEE_INC_INDIVIDUAL_LOANS_DOM_FFIEC" hidden="1">"c15359"</definedName>
    <definedName name="IQ_INT_FEE_INC_RE_LOANS_DOM_FFIEC" hidden="1">"c15353"</definedName>
    <definedName name="IQ_INT_FEE_INC_TAX_EXEMPT_OBLIGATIONS_DOM_FFIEC" hidden="1">"c15362"</definedName>
    <definedName name="IQ_INT_FEE_INC_TAXABLE_OBLIGATIONS_DOM_FFIEC" hidden="1">"c15361"</definedName>
    <definedName name="IQ_INT_SAVINGS_DEPOSITS_MMDA_DOM_FFIEC" hidden="1">"c15364"</definedName>
    <definedName name="IQ_INT_TRANSACTION_ACCOUNTS_DOM_FFIEC" hidden="1">"c15363"</definedName>
    <definedName name="IQ_INTEREST_ACCRUED_ON_DEPOSITS_DOM_FFIEC" hidden="1">"c15277"</definedName>
    <definedName name="IQ_INTEREST_BEARING_BALANCES_QUARTERLY_AVG_FFIEC" hidden="1">"c15467"</definedName>
    <definedName name="IQ_INTEREST_BEARING_CASH_FFIEC" hidden="1">"c15259"</definedName>
    <definedName name="IQ_INTEREST_BEARING_TRANS_DOM_QUARTERLY_AVG_FFIEC" hidden="1">"c15484"</definedName>
    <definedName name="IQ_INTERNAL_ALLOCATIONS_INC_EXP_FOREIGN_FFIEC" hidden="1">"c15394"</definedName>
    <definedName name="IQ_INV_REL_ID" hidden="1">"c15220"</definedName>
    <definedName name="IQ_INV_REL_NAME" hidden="1">"c15219"</definedName>
    <definedName name="IQ_LATESTK" hidden="1">1000</definedName>
    <definedName name="IQ_LATESTQ" hidden="1">500</definedName>
    <definedName name="IQ_LEASE_FINANCING_RECEIVABLES_QUARTERLY_AVG_FFIEC" hidden="1">"c15483"</definedName>
    <definedName name="IQ_LOAN_LOSS_PROVISION_FOREIGN_FFIEC" hidden="1">"c15382"</definedName>
    <definedName name="IQ_LOANS_LEASES_HFI_FAIR_VALUE_TOT_FFIEC" hidden="1">"c15401"</definedName>
    <definedName name="IQ_LOANS_LEASES_HFI_LEVEL_1_FFIEC" hidden="1">"c15423"</definedName>
    <definedName name="IQ_LOANS_LEASES_HFI_LEVEL_2_FFIEC" hidden="1">"c15436"</definedName>
    <definedName name="IQ_LOANS_LEASES_HFI_LEVEL_3_FFIEC" hidden="1">"c15449"</definedName>
    <definedName name="IQ_LOANS_LEASES_HFS_FAIR_VALUE_TOT_FFIEC" hidden="1">"c15400"</definedName>
    <definedName name="IQ_LOANS_LEASES_HFS_LEVEL_1_FFIEC" hidden="1">"c15422"</definedName>
    <definedName name="IQ_LOANS_LEASES_HFS_LEVEL_2_FFIEC" hidden="1">"c15435"</definedName>
    <definedName name="IQ_LOANS_LEASES_HFS_LEVEL_3_FFIEC" hidden="1">"c15448"</definedName>
    <definedName name="IQ_LTM" hidden="1">2000</definedName>
    <definedName name="IQ_MBS_QUARTERLY_AVG_FFIEC" hidden="1">"c15471"</definedName>
    <definedName name="IQ_MMDA_NON_TRANS_ACCTS_FFIEC" hidden="1">"c15330"</definedName>
    <definedName name="IQ_MONTH" hidden="1">15000</definedName>
    <definedName name="IQ_MORTGAGE_DEBT_UNDER_CAPITAL_LEASES_FFIEC" hidden="1">"c15276"</definedName>
    <definedName name="IQ_MULTIFAMILY_RES_DOM_FFIEC" hidden="1">"c15270"</definedName>
    <definedName name="IQ_MUNI_ADVALOREM_TAX" hidden="1">"c15144"</definedName>
    <definedName name="IQ_MUNI_AMT_TAX" hidden="1">"c15146"</definedName>
    <definedName name="IQ_MUNI_BANK_QUALIFIED" hidden="1">"c15148"</definedName>
    <definedName name="IQ_MUNI_DEP_TRUST_ELIGIBLE" hidden="1">"c15149"</definedName>
    <definedName name="IQ_MUNI_ECONOMIC_DEFEASANCE" hidden="1">"c15151"</definedName>
    <definedName name="IQ_MUNI_ESCROW" hidden="1">"c15228"</definedName>
    <definedName name="IQ_MUNI_FED_TAX" hidden="1">"c15147"</definedName>
    <definedName name="IQ_MUNI_LEGAL_DEFEASANCE" hidden="1">"c15150"</definedName>
    <definedName name="IQ_MUNI_OFFERING_TYPE" hidden="1">"c15143"</definedName>
    <definedName name="IQ_MUNI_OPTIONAL_REDEMPTION_DEFEASANCE" hidden="1">"c15152"</definedName>
    <definedName name="IQ_MUNI_PRE_REFUNDED_DATE" hidden="1">"c15154"</definedName>
    <definedName name="IQ_MUNI_PRE_REFUNDED_DATED_DATE" hidden="1">"c15156"</definedName>
    <definedName name="IQ_MUNI_PRE_REFUNDED_PRICE" hidden="1">"c15155"</definedName>
    <definedName name="IQ_MUNI_PRE_REFUNDED_TYPE" hidden="1">"c15153"</definedName>
    <definedName name="IQ_MUNI_PURPOSE" hidden="1">"c15226"</definedName>
    <definedName name="IQ_MUNI_STATE_TAX" hidden="1">"c15145"</definedName>
    <definedName name="IQ_MUNI_TERRITORY" hidden="1">"c15142"</definedName>
    <definedName name="IQ_MUNI_TYPE" hidden="1">"c15227"</definedName>
    <definedName name="IQ_NET_BOOKING_LOCATION_ADJUSTMENT_FOREIGN_FFIEC" hidden="1">"c15385"</definedName>
    <definedName name="IQ_NET_GAIN_LOSS_OREO_EXP_FFIEC" hidden="1">"c15370"</definedName>
    <definedName name="IQ_NET_GAIN_LOSS_OREO_INC_FFIEC" hidden="1">"c15367"</definedName>
    <definedName name="IQ_NET_GAIN_LOSS_SALES_LOANS_EXP_FFIEC" hidden="1">"c15371"</definedName>
    <definedName name="IQ_NET_GAIN_LOSS_SALES_LOANS_INC_FFIEC" hidden="1">"c15368"</definedName>
    <definedName name="IQ_NET_GAIN_SALE_PREMISES_FIXED_ASSETS_EXP_FFIEC" hidden="1">"c15372"</definedName>
    <definedName name="IQ_NET_GAIN_SALE_PREMISES_FIXED_ASSETS_INC_FFIEC" hidden="1">"c15369"</definedName>
    <definedName name="IQ_NET_INTEREST_INC_INTERNATIONAL_OPS_FFIEC" hidden="1">"c15375"</definedName>
    <definedName name="IQ_NET_NONINTEREST_INC_EXP_INTERNATIONAL_OPS_FFIEC" hidden="1">"c15387"</definedName>
    <definedName name="IQ_NET_SECURITIZATION_INC_FOREIGN_FFIEC" hidden="1">"c15379"</definedName>
    <definedName name="IQ_NI_BANK_AND_NONCONTROLLING_INTEREST_FFIEC" hidden="1">"c15365"</definedName>
    <definedName name="IQ_NI_BEFORE_INTERNAL_ALLOCATIONS_FOREIGN_FFIEC" hidden="1">"c15393"</definedName>
    <definedName name="IQ_NI_NON_CONTROLLING_INTERESTS_FFIEC" hidden="1">"c15366"</definedName>
    <definedName name="IQ_NON_ACCRUAL_ASSET_SOLD_DURING_QTR_FFIEC" hidden="1">"c15350"</definedName>
    <definedName name="IQ_NONFARM_NONRES_DOM_FFIEC" hidden="1">"c15271"</definedName>
    <definedName name="IQ_NONINTEREST_INC_FOREIGN_FFIEC" hidden="1">"c15376"</definedName>
    <definedName name="IQ_NTM" hidden="1">6000</definedName>
    <definedName name="IQ_OBLIGATION_STATES_POLI_SUBD_US_LL_REC_DOM_FFIEC" hidden="1">"c15295"</definedName>
    <definedName name="IQ_OBLIGATION_STATES_POLI_SUBD_US_LL_REC_FFIEC" hidden="1">"c15294"</definedName>
    <definedName name="IQ_OREO_FOREIGN_FFIEC" hidden="1">"c15273"</definedName>
    <definedName name="IQ_OTHER_BORROWED_MONEY_FAIR_VALUE_TOT_FFIEC" hidden="1">"c15409"</definedName>
    <definedName name="IQ_OTHER_BORROWED_MONEY_LEVEL_1_FFIEC" hidden="1">"c15431"</definedName>
    <definedName name="IQ_OTHER_BORROWED_MONEY_LEVEL_2_FFIEC" hidden="1">"c15444"</definedName>
    <definedName name="IQ_OTHER_BORROWED_MONEY_LEVEL_3_FFIEC" hidden="1">"c15457"</definedName>
    <definedName name="IQ_OTHER_DEBT_SECURITIES_QUARTERLY_AVG_FFIEC" hidden="1">"c15473"</definedName>
    <definedName name="IQ_OTHER_IBF_DEPOSIT_LIABILITIES_FFIEC" hidden="1">"c15301"</definedName>
    <definedName name="IQ_OTHER_INDIVIDUAL_FAMILY_DOM_QUARTERLY_AVG_FFIEC" hidden="1">"c15481"</definedName>
    <definedName name="IQ_OTHER_NONINTEREST_INC_FOREIGN_FFIEC" hidden="1">"c15380"</definedName>
    <definedName name="IQ_OTHER_SAVINGS_DEPOSITS_NON_TRANS_ACCTS_FFIEC" hidden="1">"c15331"</definedName>
    <definedName name="IQ_OTHER_SECURITIES_QUARTERLY_AVG_FFIEC" hidden="1">"c15472"</definedName>
    <definedName name="IQ_OTHER_TRADING_ASSETS_FAIR_VALUE_TOT_FFIEC" hidden="1">"c15404"</definedName>
    <definedName name="IQ_OTHER_TRADING_ASSETS_LEVEL_1_FFIEC" hidden="1">"c15426"</definedName>
    <definedName name="IQ_OTHER_TRADING_ASSETS_LEVEL_2_FFIEC" hidden="1">"c15439"</definedName>
    <definedName name="IQ_OTHER_TRADING_ASSETS_LEVEL_3_FFIEC" hidden="1">"c15452"</definedName>
    <definedName name="IQ_OTHER_TRADING_LIABILITIES_FAIR_VALUE_TOT_FFIEC" hidden="1">"c15408"</definedName>
    <definedName name="IQ_OTHER_TRADING_LIABILITIES_LEVEL_1_FFIEC" hidden="1">"c15430"</definedName>
    <definedName name="IQ_OTHER_TRADING_LIABILITIES_LEVEL_2_FFIEC" hidden="1">"c15443"</definedName>
    <definedName name="IQ_OTHER_TRADING_LIABILITIES_LEVEL_3_FFIEC" hidden="1">"c15456"</definedName>
    <definedName name="IQ_PBV_FWD" hidden="1">"c15235"</definedName>
    <definedName name="IQ_PREFERRED_DEPOSITS_FFIEC" hidden="1">"c15312"</definedName>
    <definedName name="IQ_PRESIDENT_ID" hidden="1">"c15216"</definedName>
    <definedName name="IQ_PRESIDENT_NAME" hidden="1">"c15215"</definedName>
    <definedName name="IQ_PRETAX_INC_AFTER_CAP_ALLOCATION_FOREIGN_FFIEC" hidden="1">"c15390"</definedName>
    <definedName name="IQ_PRETAX_INC_BEFORE_CAP_ALLOCATION_FOREIGN_FFIEC" hidden="1">"c15388"</definedName>
    <definedName name="IQ_PROFESSIONAL_ASSISTANT_EMAIL" hidden="1">"c15169"</definedName>
    <definedName name="IQ_PROFESSIONAL_ASSISTANT_FAX" hidden="1">"c15171"</definedName>
    <definedName name="IQ_PROFESSIONAL_ASSISTANT_NAME" hidden="1">"c15168"</definedName>
    <definedName name="IQ_PROFESSIONAL_ASSISTANT_PHONE" hidden="1">"c15170"</definedName>
    <definedName name="IQ_PROFESSIONAL_BACKGROUND" hidden="1">"c15161"</definedName>
    <definedName name="IQ_PROFESSIONAL_DIRECT_FAX" hidden="1">"c15166"</definedName>
    <definedName name="IQ_PROFESSIONAL_DIRECT_PHONE" hidden="1">"c15165"</definedName>
    <definedName name="IQ_PROFESSIONAL_EMAIL" hidden="1">"c15167"</definedName>
    <definedName name="IQ_PROFESSIONAL_MAIN_FAX" hidden="1">"c15164"</definedName>
    <definedName name="IQ_PROFESSIONAL_MAIN_PHONE" hidden="1">"c15163"</definedName>
    <definedName name="IQ_PROFESSIONAL_OFFICE_ADDRESS" hidden="1">"c15162"</definedName>
    <definedName name="IQ_RE_LOANS_DOM_QUARTERLY_AVG_FFIEC" hidden="1">"c15476"</definedName>
    <definedName name="IQ_REV_BEFORE_LOAN_LOSS_FOREIGN_FFIEC" hidden="1">"c15381"</definedName>
    <definedName name="IQ_REVOLVING_SECURED_1_4_NON_ACCRUAL_FFIEC" hidden="1">"c13314"</definedName>
    <definedName name="IQ_SALE_CONVERSION_ACQUISITION_NET_COMMON_FFIEC" hidden="1">"c15351"</definedName>
    <definedName name="IQ_SAVINGS_DEPOSITS_NON_TRANS_ACCTS_FFIEC" hidden="1">"c15329"</definedName>
    <definedName name="IQ_SAVINGS_DEPOSITS_QUARTERLY_AVG_FFIEC" hidden="1">"c15485"</definedName>
    <definedName name="IQ_SEC_OTHER_NONFARM_NONRES_NON_ACCRUAL_FFIEC" hidden="1">"c15462"</definedName>
    <definedName name="IQ_SEC_OWNER_NONFARM_NONRES_NON_ACCRUAL_FFIEC" hidden="1">"c15461"</definedName>
    <definedName name="IQ_SECURITIES_STATE_POLI_SUBD_QUARTERLY_AVG_FFIEC" hidden="1">"c15470"</definedName>
    <definedName name="IQ_SECURITY_ACTIVE_STATUS" hidden="1">"c15160"</definedName>
    <definedName name="IQ_SECURITY_NAME" hidden="1">"c15159"</definedName>
    <definedName name="IQ_SPECIFIC_ALLOWANCE" hidden="1">"c15247"</definedName>
    <definedName name="IQ_STANDBY_LOC_FHLB_BANK_BEHALF_OFF_BS_FFIEC" hidden="1">"c15412"</definedName>
    <definedName name="IQ_STATES_POLI_SUBD_US_NON_TRANS_ACCTS_FFIEC" hidden="1">"c15324"</definedName>
    <definedName name="IQ_STATES_POLI_SUBD_US_TRANS_ACCTS_FFIEC" hidden="1">"c15316"</definedName>
    <definedName name="IQ_SUB_NOTES_DEBENTURES_FAIR_VALUE_TOT_FFIEC" hidden="1">"c15410"</definedName>
    <definedName name="IQ_SUB_NOTES_DEBENTURES_LEVEL_1_FFIEC" hidden="1">"c15432"</definedName>
    <definedName name="IQ_SUB_NOTES_DEBENTURES_LEVEL_2_FFIEC" hidden="1">"c15445"</definedName>
    <definedName name="IQ_SUB_NOTES_DEBENTURES_LEVEL_3_FFIEC" hidden="1">"c15458"</definedName>
    <definedName name="IQ_SYNTHETIC_STRUCTURED_PRODUCTS_AVAIL_SALE_FFIEC" hidden="1">"c15264"</definedName>
    <definedName name="IQ_SYNTHETIC_STRUCTURED_PRODUCTS_FFIEC" hidden="1">"c15261"</definedName>
    <definedName name="IQ_TIER_TWO_CAPITAL_RATIO" hidden="1">"c15241"</definedName>
    <definedName name="IQ_TIME_DEPOSIT_LESS_100000_QUARTERLY_AVG_FFIEC" hidden="1">"c15487"</definedName>
    <definedName name="IQ_TIME_DEPOSIT_MORE_100000_QUARTERLY_AVG_FFIEC" hidden="1">"c15486"</definedName>
    <definedName name="IQ_TODAY" hidden="1">0</definedName>
    <definedName name="IQ_TOTAL_ASSETS_FAIR_VALUE_TOT_FFIEC" hidden="1">"c15405"</definedName>
    <definedName name="IQ_TOTAL_ASSETS_LEVEL_1_FFIEC" hidden="1">"c15427"</definedName>
    <definedName name="IQ_TOTAL_ASSETS_LEVEL_2_FFIEC" hidden="1">"c15440"</definedName>
    <definedName name="IQ_TOTAL_ASSETS_LEVEL_3_FFIEC" hidden="1">"c15453"</definedName>
    <definedName name="IQ_TOTAL_BROKERED_DEPOSIT_FFIEC" hidden="1">"c15304"</definedName>
    <definedName name="IQ_TOTAL_CASH_DUE_DEPOSITORY_INSTIT_DOM_FFIEC" hidden="1">"c15291"</definedName>
    <definedName name="IQ_TOTAL_CASH_DUE_DEPOSITORY_INSTIT_FFIEC" hidden="1">"c15285"</definedName>
    <definedName name="IQ_TOTAL_DEPOSITS_DOM_FFIEC" hidden="1">"c15313"</definedName>
    <definedName name="IQ_TOTAL_DEPOSITS_SUPPLE" hidden="1">"c15253"</definedName>
    <definedName name="IQ_TOTAL_EQUITY_INCL_MINORITY_INTEREST_FFIEC" hidden="1">"c15278"</definedName>
    <definedName name="IQ_TOTAL_FOREIGN_DEPOSITS_FFIEC" hidden="1">"c15348"</definedName>
    <definedName name="IQ_TOTAL_FOREIGN_LOANS_QUARTERLY_AVG_FFIEC" hidden="1">"c15482"</definedName>
    <definedName name="IQ_TOTAL_IBF_ASSETS_CONSOL_BANK_FFIEC" hidden="1">"c15299"</definedName>
    <definedName name="IQ_TOTAL_IBF_LIABILITIES_FFIEC" hidden="1">"c15302"</definedName>
    <definedName name="IQ_TOTAL_IBF_LL_REC_FFIEC" hidden="1">"c15297"</definedName>
    <definedName name="IQ_TOTAL_INTEREST_EXP_FOREIGN_FFIEC" hidden="1">"c15374"</definedName>
    <definedName name="IQ_TOTAL_INTEREST_INC_FOREIGN_FFIEC" hidden="1">"c15373"</definedName>
    <definedName name="IQ_TOTAL_IRA_KEOGH_PLAN_ACCOUNTS_FFIEC" hidden="1">"c15303"</definedName>
    <definedName name="IQ_TOTAL_LIABILITIES_FAIR_VALUE_TOT_FFIEC" hidden="1">"c15411"</definedName>
    <definedName name="IQ_TOTAL_LIABILITIES_LEVEL_1_FFIEC" hidden="1">"c15433"</definedName>
    <definedName name="IQ_TOTAL_LIABILITIES_LEVEL_2_FFIEC" hidden="1">"c15446"</definedName>
    <definedName name="IQ_TOTAL_LIABILITIES_LEVEL_3_FFIEC" hidden="1">"c15459"</definedName>
    <definedName name="IQ_TOTAL_LOANS_DOM_QUARTERLY_AVG_FFIEC" hidden="1">"c15475"</definedName>
    <definedName name="IQ_TOTAL_LOANS_LEASES_AND_OTHER_DUE_30_89_FFIEC" hidden="1">"c15416"</definedName>
    <definedName name="IQ_TOTAL_LOANS_LEASES_AND_OTHER_DUE_90_FFIEC" hidden="1">"c15420"</definedName>
    <definedName name="IQ_TOTAL_LOANS_LEASES_AND_OTHER_NON_ACCRUAL_FFIEC" hidden="1">"c15466"</definedName>
    <definedName name="IQ_TOTAL_NON_TRANS_ACCTS_FFIEC" hidden="1">"c15328"</definedName>
    <definedName name="IQ_TOTAL_NONINTEREST_EXPENSE_FOREIGN_FFIEC" hidden="1">"c15386"</definedName>
    <definedName name="IQ_TOTAL_REVENUE_FOREIGN_FFIEC" hidden="1">"c15383"</definedName>
    <definedName name="IQ_TOTAL_TIME_LESS_100000_1_TO_3_YEARS_FFIEC" hidden="1">"c15335"</definedName>
    <definedName name="IQ_TOTAL_TIME_LESS_100000_3_MONTHS_LESS_FFIEC" hidden="1">"c15333"</definedName>
    <definedName name="IQ_TOTAL_TIME_LESS_100000_3_TO_12_MONTHS_FFIEC" hidden="1">"c15334"</definedName>
    <definedName name="IQ_TOTAL_TIME_LESS_100000_FFIEC" hidden="1">"c15332"</definedName>
    <definedName name="IQ_TOTAL_TIME_LESS_100000_OVER_3_YEARS_FFIEC" hidden="1">"c15336"</definedName>
    <definedName name="IQ_TOTAL_TIME_MORE_100000_1_TO_3_YEARS_FFIEC" hidden="1">"c15340"</definedName>
    <definedName name="IQ_TOTAL_TIME_MORE_100000_3_MONTHS_LESS_FFIEC" hidden="1">"c15338"</definedName>
    <definedName name="IQ_TOTAL_TIME_MORE_100000_3_TO_12_MONTHS_FFIEC" hidden="1">"c15339"</definedName>
    <definedName name="IQ_TOTAL_TIME_MORE_100000_FFIEC" hidden="1">"c15337"</definedName>
    <definedName name="IQ_TOTAL_TIME_MORE_100000_OVER_3_YEARS_FFIEC" hidden="1">"c15341"</definedName>
    <definedName name="IQ_TOTAL_TRADING_LIAB_FOREIGN_FFIEC" hidden="1">"c15296"</definedName>
    <definedName name="IQ_TOTAL_TRANS_ACCTS_FFIEC" hidden="1">"c15321"</definedName>
    <definedName name="IQ_TRADING_REV_FOREIGN_FFIEC" hidden="1">"c15377"</definedName>
    <definedName name="IQ_TRANSACTION_LIST" hidden="1">"c15126"</definedName>
    <definedName name="IQ_TRANSACTION_LIST_BANKRUPTCY" hidden="1">"c15131"</definedName>
    <definedName name="IQ_TRANSACTION_LIST_BUYBACK" hidden="1">"c15129"</definedName>
    <definedName name="IQ_TRANSACTION_LIST_INCL_SUBS" hidden="1">"c15132"</definedName>
    <definedName name="IQ_TRANSACTION_LIST_INCL_SUBS_BANKRUPTCY" hidden="1">"c15137"</definedName>
    <definedName name="IQ_TRANSACTION_LIST_INCL_SUBS_BUYBACK" hidden="1">"c15135"</definedName>
    <definedName name="IQ_TRANSACTION_LIST_INCL_SUBS_MA" hidden="1">"c15133"</definedName>
    <definedName name="IQ_TRANSACTION_LIST_INCL_SUBS_PO" hidden="1">"c15136"</definedName>
    <definedName name="IQ_TRANSACTION_LIST_INCL_SUBS_PP" hidden="1">"c15134"</definedName>
    <definedName name="IQ_TRANSACTION_LIST_MA" hidden="1">"c15127"</definedName>
    <definedName name="IQ_TRANSACTION_LIST_PO" hidden="1">"c15130"</definedName>
    <definedName name="IQ_TRANSACTION_LIST_PP" hidden="1">"c15128"</definedName>
    <definedName name="IQ_TREASURER_ID" hidden="1">"c15214"</definedName>
    <definedName name="IQ_TREASURER_NAME" hidden="1">"c15213"</definedName>
    <definedName name="IQ_TREASURY_STOCK_TRANSACTIONS_FFIEC" hidden="1">"c15352"</definedName>
    <definedName name="IQ_US_BANKS_OTHER_INST_FOREIGN_DEP_FFIEC" hidden="1">"c15343"</definedName>
    <definedName name="IQ_US_GOVT_NON_TRANS_ACCTS_FFIEC" hidden="1">"c15323"</definedName>
    <definedName name="IQ_US_GOVT_STATE_POLI_SUBD_IN_US_FOREIGN_DEP_FFIEC" hidden="1">"c15346"</definedName>
    <definedName name="IQ_US_GOVT_TRANS_ACCTS_FFIEC" hidden="1">"c15315"</definedName>
    <definedName name="IQ_UST_SEC_GOVT_AGENCY_CORP_QUARTERLY_AVG_FFIEC" hidden="1">"c15469"</definedName>
    <definedName name="IQ_UST_SECURITIES_GOVT_AGENCY_QUARTERLY_AVG_FFIEC" hidden="1">"c15468"</definedName>
    <definedName name="IQ_VEHICLE_LOANS" hidden="1">"c15249"</definedName>
    <definedName name="IQ_WEEK" hidden="1">50000</definedName>
    <definedName name="IQ_YTD" hidden="1">3000</definedName>
    <definedName name="jad" localSheetId="0" hidden="1">{#N/A,"30% Success",TRUE,"Sales Forecast";#N/A,#N/A,TRUE,"Sheet2"}</definedName>
    <definedName name="jad" hidden="1">{#N/A,"30% Success",TRUE,"Sales Forecast";#N/A,#N/A,TRUE,"Sheet2"}</definedName>
    <definedName name="joaquim" localSheetId="0" hidden="1">{#N/A,"100% Success",TRUE,"Sales Forecast";#N/A,#N/A,TRUE,"Sheet2"}</definedName>
    <definedName name="joaquim" hidden="1">{#N/A,"100% Success",TRUE,"Sales Forecast";#N/A,#N/A,TRUE,"Sheet2"}</definedName>
    <definedName name="kmh" localSheetId="0" hidden="1">{#N/A,#N/A,TRUE,"Cover sheet";#N/A,#N/A,TRUE,"DCF analysis";#N/A,#N/A,TRUE,"WACC calculation"}</definedName>
    <definedName name="kmh" hidden="1">{#N/A,#N/A,TRUE,"Cover sheet";#N/A,#N/A,TRUE,"DCF analysis";#N/A,#N/A,TRUE,"WACC calculation"}</definedName>
    <definedName name="M_TRS">[3]Parameters!$C$13</definedName>
    <definedName name="market" localSheetId="0" hidden="1">{#N/A,"70% Success",FALSE,"Sales Forecast";#N/A,#N/A,FALSE,"Sheet2"}</definedName>
    <definedName name="market" hidden="1">{#N/A,"70% Success",FALSE,"Sales Forecast";#N/A,#N/A,FALSE,"Sheet2"}</definedName>
    <definedName name="ME_DEPR">[3]Parameters!$C$19</definedName>
    <definedName name="MOA" localSheetId="0" hidden="1">{#N/A,#N/A,FALSE,"DEF1";#N/A,#N/A,FALSE,"DEF2";#N/A,#N/A,FALSE,"DEF3"}</definedName>
    <definedName name="MOA" hidden="1">{#N/A,#N/A,FALSE,"DEF1";#N/A,#N/A,FALSE,"DEF2";#N/A,#N/A,FALSE,"DEF3"}</definedName>
    <definedName name="newDC" localSheetId="0" hidden="1">{#N/A,#N/A,TRUE,"Cover sheet";#N/A,#N/A,TRUE,"DCF analysis";#N/A,#N/A,TRUE,"WACC calculation"}</definedName>
    <definedName name="newDC" hidden="1">{#N/A,#N/A,TRUE,"Cover sheet";#N/A,#N/A,TRUE,"DCF analysis";#N/A,#N/A,TRUE,"WACC calculation"}</definedName>
    <definedName name="PAST_CANE_INV">[3]Parameters!$C$17</definedName>
    <definedName name="pedro" localSheetId="0" hidden="1">{#N/A,"30% Success",TRUE,"Sales Forecast";#N/A,#N/A,TRUE,"Sheet2"}</definedName>
    <definedName name="pedro" hidden="1">{#N/A,"30% Success",TRUE,"Sales Forecast";#N/A,#N/A,TRUE,"Sheet2"}</definedName>
    <definedName name="Pres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qq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q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sfd" localSheetId="0" hidden="1">{#N/A,#N/A,TRUE,"Cover sheet";#N/A,#N/A,TRUE,"INPUTS";#N/A,#N/A,TRUE,"OUTPUTS";#N/A,#N/A,TRUE,"VALUATION"}</definedName>
    <definedName name="qsfd" hidden="1">{#N/A,#N/A,TRUE,"Cover sheet";#N/A,#N/A,TRUE,"INPUTS";#N/A,#N/A,TRUE,"OUTPUTS";#N/A,#N/A,TRUE,"VALUATION"}</definedName>
    <definedName name="s" localSheetId="0" hidden="1">{#N/A,"70% Success",FALSE,"Sales Forecast";#N/A,#N/A,FALSE,"Sheet2"}</definedName>
    <definedName name="s" hidden="1">{#N/A,"70% Success",FALSE,"Sales Forecast";#N/A,#N/A,FALSE,"Sheet2"}</definedName>
    <definedName name="SAPBEXrevision" hidden="1">18</definedName>
    <definedName name="SAPBEXsysID" hidden="1">"B1P"</definedName>
    <definedName name="SAPBEXwbID" hidden="1">"4ZUOE77O1HF840EF45K3PLCV5"</definedName>
    <definedName name="SAU">#REF!</definedName>
    <definedName name="SE_RM">[3]Parameters!$C$21</definedName>
    <definedName name="solver_lin" hidden="1">0</definedName>
    <definedName name="Stubyear">[5]Assumptions!$C$6</definedName>
    <definedName name="UE_TRS">[3]Parameters!$C$11</definedName>
    <definedName name="VHP_ATR">#REF!</definedName>
    <definedName name="VHP_Elevation">[3]Price!$L$19:$AP$19</definedName>
    <definedName name="VHP_Freight">[3]Price!$L$20:$AP$20</definedName>
    <definedName name="VHP_TRS">[3]Parameters!$C$10</definedName>
    <definedName name="wrn.1." localSheetId="0" hidden="1">{"cover",#N/A,TRUE,"Cover";"toc1",#N/A,TRUE,"TOC";"ts1",#N/A,TRUE,"Transaction Summary";"ei",#N/A,TRUE,"Earnings Impact";"ad",#N/A,TRUE,"accretion dilution"}</definedName>
    <definedName name="wrn.1." hidden="1">{"cover",#N/A,TRUE,"Cover";"toc1",#N/A,TRUE,"TOC";"ts1",#N/A,TRUE,"Transaction Summary";"ei",#N/A,TRUE,"Earnings Impact";"ad",#N/A,TRUE,"accretion dilution"}</definedName>
    <definedName name="wrn.10." localSheetId="0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_.Per._.Cent._.Success." localSheetId="0" hidden="1">{#N/A,"10% Success",FALSE,"Sales Forecast";#N/A,#N/A,FALSE,"Sheet2"}</definedName>
    <definedName name="wrn.10._.Per._.Cent._.Success." hidden="1">{#N/A,"10% Success",FALSE,"Sales Forecast";#N/A,#N/A,FALSE,"Sheet2"}</definedName>
    <definedName name="wrn.100._.Per._.Cent._.Success." localSheetId="0" hidden="1">{#N/A,"100% Success",TRUE,"Sales Forecast";#N/A,#N/A,TRUE,"Sheet2"}</definedName>
    <definedName name="wrn.100._.Per._.Cent._.Success." hidden="1">{#N/A,"100% Success",TRUE,"Sales Forecast";#N/A,#N/A,TRUE,"Sheet2"}</definedName>
    <definedName name="wrn.11." localSheetId="0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localSheetId="0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localSheetId="0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localSheetId="0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localSheetId="0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localSheetId="0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localSheetId="0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localSheetId="0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localSheetId="0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2." localSheetId="0" hidden="1">{"cover",#N/A,TRUE,"Cover";"toc1",#N/A,TRUE,"TOC";"ts1",#N/A,TRUE,"Transaction Summary";"ei1",#N/A,TRUE,"Earnings Impact";"ad1",#N/A,TRUE,"accretion dilution"}</definedName>
    <definedName name="wrn.2." hidden="1">{"cover",#N/A,TRUE,"Cover";"toc1",#N/A,TRUE,"TOC";"ts1",#N/A,TRUE,"Transaction Summary";"ei1",#N/A,TRUE,"Earnings Impact";"ad1",#N/A,TRUE,"accretion dilution"}</definedName>
    <definedName name="wrn.20." localSheetId="0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localSheetId="0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localSheetId="0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localSheetId="0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localSheetId="0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localSheetId="0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localSheetId="0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localSheetId="0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localSheetId="0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localSheetId="0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localSheetId="0" hidden="1">{"cover",#N/A,TRUE,"Cover";"toc1",#N/A,TRUE,"TOC";"ts1",#N/A,TRUE,"Transaction Summary";"ei2",#N/A,TRUE,"Earnings Impact";"ad2",#N/A,TRUE,"accretion dilution"}</definedName>
    <definedName name="wrn.3." hidden="1">{"cover",#N/A,TRUE,"Cover";"toc1",#N/A,TRUE,"TOC";"ts1",#N/A,TRUE,"Transaction Summary";"ei2",#N/A,TRUE,"Earnings Impact";"ad2",#N/A,TRUE,"accretion dilution"}</definedName>
    <definedName name="wrn.30." localSheetId="0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_.Per._.Cent." localSheetId="0" hidden="1">{#N/A,"30% Success",TRUE,"Sales Forecast";#N/A,#N/A,TRUE,"Sheet2"}</definedName>
    <definedName name="wrn.30._.Per._.Cent." hidden="1">{#N/A,"30% Success",TRUE,"Sales Forecast";#N/A,#N/A,TRUE,"Sheet2"}</definedName>
    <definedName name="wrn.31." localSheetId="0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localSheetId="0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localSheetId="0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localSheetId="0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localSheetId="0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localSheetId="0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localSheetId="0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localSheetId="0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localSheetId="0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localSheetId="0" hidden="1">{"toc1",#N/A,FALSE,"TOC";"cover",#N/A,FALSE,"Cover";"ts1",#N/A,FALSE,"Transaction Summary";"ei3",#N/A,FALSE,"Earnings Impact";"ad3",#N/A,FALSE,"accretion dilution"}</definedName>
    <definedName name="wrn.4." hidden="1">{"toc1",#N/A,FALSE,"TOC";"cover",#N/A,FALSE,"Cover";"ts1",#N/A,FALSE,"Transaction Summary";"ei3",#N/A,FALSE,"Earnings Impact";"ad3",#N/A,FALSE,"accretion dilution"}</definedName>
    <definedName name="wrn.40." localSheetId="0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localSheetId="0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localSheetId="0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localSheetId="0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localSheetId="0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localSheetId="0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localSheetId="0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localSheetId="0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localSheetId="0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localSheetId="0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localSheetId="0" hidden="1">{"cover",#N/A,TRUE,"Cover";"toc2",#N/A,TRUE,"TOC";"ts1",#N/A,TRUE,"Transaction Summary";"ei",#N/A,TRUE,"Earnings Impact";"ad",#N/A,TRUE,"accretion dilution";"hg",#N/A,TRUE,"Has-Gets"}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localSheetId="0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localSheetId="0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localSheetId="0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localSheetId="0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localSheetId="0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localSheetId="0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localSheetId="0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localSheetId="0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localSheetId="0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localSheetId="0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6." localSheetId="0" hidden="1">{"cover",#N/A,TRUE,"Cover";"toc2",#N/A,TRUE,"TOC";"ts1",#N/A,TRUE,"Transaction Summary";"ei1",#N/A,TRUE,"Earnings Impact";"ad1",#N/A,TRUE,"accretion dilution";"hg1",#N/A,TRUE,"Has-Gets"}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localSheetId="0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localSheetId="0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localSheetId="0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localSheetId="0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localSheetId="0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localSheetId="0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localSheetId="0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localSheetId="0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localSheetId="0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localSheetId="0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localSheetId="0" hidden="1">{"cover",#N/A,TRUE,"Cover";"toc2",#N/A,TRUE,"TOC";"ts1",#N/A,TRUE,"Transaction Summary";"ei2c",#N/A,TRUE,"Earnings Impact";"ad2",#N/A,TRUE,"accretion dilution";"hg2",#N/A,TRUE,"Has-Gets"}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localSheetId="0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_.Per._.Cent._.Success." localSheetId="0" hidden="1">{#N/A,"70% Success",FALSE,"Sales Forecast";#N/A,#N/A,FALSE,"Sheet2"}</definedName>
    <definedName name="wrn.70._.Per._.Cent._.Success." hidden="1">{#N/A,"70% Success",FALSE,"Sales Forecast";#N/A,#N/A,FALSE,"Sheet2"}</definedName>
    <definedName name="wrn.71." localSheetId="0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localSheetId="0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localSheetId="0" hidden="1">{"cover",#N/A,TRUE,"Cover";"toc2",#N/A,TRUE,"TOC";"ts1",#N/A,TRUE,"Transaction Summary";"ei3",#N/A,TRUE,"Earnings Impact";"ad3",#N/A,TRUE,"accretion dilution";"hg3",#N/A,TRUE,"Has-Gets"}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localSheetId="0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Alligator." localSheetId="0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lligator.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baseDEV." localSheetId="0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baseDEV.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Book." localSheetId="0" hidden="1">{"EVA",#N/A,FALSE,"SMT2";#N/A,#N/A,FALSE,"Summary";#N/A,#N/A,FALSE,"Graphs";#N/A,#N/A,FALSE,"4 Panel"}</definedName>
    <definedName name="wrn.Book." hidden="1">{"EVA",#N/A,FALSE,"SMT2";#N/A,#N/A,FALSE,"Summary";#N/A,#N/A,FALSE,"Graphs";#N/A,#N/A,FALSE,"4 Panel"}</definedName>
    <definedName name="wrn.Complete." localSheetId="0" hidden="1">{#N/A,#N/A,FALSE,"SMT1";#N/A,#N/A,FALSE,"SMT2";#N/A,#N/A,FALSE,"Summary";#N/A,#N/A,FALSE,"Graphs";#N/A,#N/A,FALSE,"4 Panel"}</definedName>
    <definedName name="wrn.Complete." hidden="1">{#N/A,#N/A,FALSE,"SMT1";#N/A,#N/A,FALSE,"SMT2";#N/A,#N/A,FALSE,"Summary";#N/A,#N/A,FALSE,"Graphs";#N/A,#N/A,FALSE,"4 Panel"}</definedName>
    <definedName name="wrn.Complete._.Set." localSheetId="0" hidden="1">{#N/A,#N/A,FALSE,"Full";#N/A,#N/A,FALSE,"Half";#N/A,#N/A,FALSE,"Op Expenses";#N/A,#N/A,FALSE,"Cap Charge";#N/A,#N/A,FALSE,"Cost C";#N/A,#N/A,FALSE,"PP&amp;E";#N/A,#N/A,FALSE,"R&amp;D"}</definedName>
    <definedName name="wrn.Complete._.Set." hidden="1">{#N/A,#N/A,FALSE,"Full";#N/A,#N/A,FALSE,"Half";#N/A,#N/A,FALSE,"Op Expenses";#N/A,#N/A,FALSE,"Cap Charge";#N/A,#N/A,FALSE,"Cost C";#N/A,#N/A,FALSE,"PP&amp;E";#N/A,#N/A,FALSE,"R&amp;D"}</definedName>
    <definedName name="wrn.def9806." localSheetId="0" hidden="1">{#N/A,#N/A,FALSE,"DEF1";#N/A,#N/A,FALSE,"DEF2";#N/A,#N/A,FALSE,"DEF3"}</definedName>
    <definedName name="wrn.def9806." hidden="1">{#N/A,#N/A,FALSE,"DEF1";#N/A,#N/A,FALSE,"DEF2";#N/A,#N/A,FALSE,"DEF3"}</definedName>
    <definedName name="wrn.fred." localSheetId="0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d.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ull._.model.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model.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imp." localSheetId="0" hidden="1">{"vue1",#N/A,FALSE,"synthese";"vue2",#N/A,FALSE,"synthese"}</definedName>
    <definedName name="wrn.imp." hidden="1">{"vue1",#N/A,FALSE,"synthese";"vue2",#N/A,FALSE,"synthese"}</definedName>
    <definedName name="wrn.INVESTIMENTOS._.CORRENTES." localSheetId="0" hidden="1">{#N/A,#N/A,FALSE,"Suprimentos";#N/A,#N/A,FALSE,"Medicina e Segurança";#N/A,#N/A,FALSE,"Administração";#N/A,#N/A,FALSE,"Meio Ambiente";#N/A,#N/A,FALSE,"Operação (Mina)";#N/A,#N/A,FALSE,"Operação (Porto)"}</definedName>
    <definedName name="wrn.INVESTIMENTOS._.CORRENTES." hidden="1">{#N/A,#N/A,FALSE,"Suprimentos";#N/A,#N/A,FALSE,"Medicina e Segurança";#N/A,#N/A,FALSE,"Administração";#N/A,#N/A,FALSE,"Meio Ambiente";#N/A,#N/A,FALSE,"Operação (Mina)";#N/A,#N/A,FALSE,"Operação (Porto)"}</definedName>
    <definedName name="wrn.lh97.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MergerModel." localSheetId="0" hidden="1">{"Deal",#N/A,FALSE,"Deal";"acquiror",#N/A,FALSE,"Acquiror";"Target",#N/A,FALSE,"Target"}</definedName>
    <definedName name="wrn.MergerModel." hidden="1">{"Deal",#N/A,FALSE,"Deal";"acquiror",#N/A,FALSE,"Acquiror";"Target",#N/A,FALSE,"Target"}</definedName>
    <definedName name="wrn.newDEV." localSheetId="0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DEV.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EUR." localSheetId="0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newEUR.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Nico." localSheetId="0" hidden="1">{#N/A,#N/A,TRUE,"Cover";#N/A,#N/A,TRUE,"Transaction Summary";#N/A,#N/A,TRUE,"Earnings Impact";#N/A,#N/A,TRUE,"accretion dilution"}</definedName>
    <definedName name="wrn.Nico." hidden="1">{#N/A,#N/A,TRUE,"Cover";#N/A,#N/A,TRUE,"Transaction Summary";#N/A,#N/A,TRUE,"Earnings Impact";#N/A,#N/A,TRUE,"accretion dilution"}</definedName>
    <definedName name="WS_Elevation_CS">[3]Price!$L$22:$AP$22</definedName>
    <definedName name="WS_Elevation_NE">[3]Price!$L$23:$AP$23</definedName>
    <definedName name="WS_Freight_CS">[3]Price!$L$24:$AP$24</definedName>
    <definedName name="WS_Freight_NE">[3]Price!$L$25:$AP$25</definedName>
    <definedName name="WS_TRS">[3]Parameters!$C$9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29" l="1"/>
  <c r="L11" i="2" l="1"/>
  <c r="I8" i="5" l="1"/>
  <c r="E35" i="26"/>
  <c r="C121" i="41" l="1"/>
  <c r="C128" i="43"/>
  <c r="C147" i="46"/>
  <c r="C104" i="40"/>
  <c r="C90" i="44"/>
  <c r="C93" i="45"/>
  <c r="D51" i="10" l="1"/>
  <c r="C51" i="10"/>
  <c r="D57" i="10" l="1"/>
  <c r="C57" i="10"/>
  <c r="AK64" i="10"/>
  <c r="AJ64" i="10"/>
  <c r="AI64" i="10"/>
  <c r="AH64" i="10"/>
  <c r="AG64" i="10"/>
  <c r="AF64" i="10"/>
  <c r="AE64" i="10"/>
  <c r="AD64" i="10"/>
  <c r="AC64" i="10"/>
  <c r="AB64" i="10"/>
  <c r="AA64" i="10"/>
  <c r="Z64" i="10"/>
  <c r="Y64" i="10"/>
  <c r="X64" i="10"/>
  <c r="W64" i="10"/>
  <c r="V64" i="10"/>
  <c r="U64" i="10"/>
  <c r="T64" i="10"/>
  <c r="S64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E9" i="10"/>
  <c r="F9" i="10" s="1"/>
  <c r="G9" i="10" s="1"/>
  <c r="H9" i="10" s="1"/>
  <c r="I9" i="10" s="1"/>
  <c r="J9" i="10" s="1"/>
  <c r="K9" i="10" s="1"/>
  <c r="L9" i="10" s="1"/>
  <c r="M9" i="10" s="1"/>
  <c r="N9" i="10" s="1"/>
  <c r="O9" i="10" s="1"/>
  <c r="P9" i="10" s="1"/>
  <c r="Q9" i="10" s="1"/>
  <c r="R9" i="10" s="1"/>
  <c r="S9" i="10" s="1"/>
  <c r="T9" i="10" s="1"/>
  <c r="U9" i="10" s="1"/>
  <c r="V9" i="10" s="1"/>
  <c r="W9" i="10" s="1"/>
  <c r="X9" i="10" s="1"/>
  <c r="Y9" i="10" s="1"/>
  <c r="Z9" i="10" s="1"/>
  <c r="AA9" i="10" s="1"/>
  <c r="AB9" i="10" s="1"/>
  <c r="AC9" i="10" s="1"/>
  <c r="AD9" i="10" s="1"/>
  <c r="AE9" i="10" s="1"/>
  <c r="AF9" i="10" s="1"/>
  <c r="AG9" i="10" s="1"/>
  <c r="AH9" i="10" s="1"/>
  <c r="AI9" i="10" s="1"/>
  <c r="AJ9" i="10" s="1"/>
  <c r="AK9" i="10" s="1"/>
  <c r="D9" i="10"/>
  <c r="AK58" i="10"/>
  <c r="AJ58" i="10"/>
  <c r="AI58" i="10"/>
  <c r="AH58" i="10"/>
  <c r="AG58" i="10"/>
  <c r="AF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C58" i="10"/>
  <c r="N31" i="30" l="1"/>
  <c r="M31" i="30"/>
  <c r="L31" i="30"/>
  <c r="K31" i="30"/>
  <c r="C113" i="41" l="1"/>
  <c r="N47" i="28"/>
  <c r="M47" i="28"/>
  <c r="L47" i="28"/>
  <c r="K47" i="28"/>
  <c r="J47" i="28"/>
  <c r="I47" i="28"/>
  <c r="H47" i="28"/>
  <c r="G47" i="28"/>
  <c r="F47" i="28"/>
  <c r="E47" i="28"/>
  <c r="D47" i="28"/>
  <c r="C13" i="28"/>
  <c r="C12" i="28" s="1"/>
  <c r="C117" i="41" l="1"/>
  <c r="C112" i="41"/>
  <c r="C114" i="41"/>
  <c r="C121" i="43"/>
  <c r="C120" i="43"/>
  <c r="C124" i="43"/>
  <c r="C141" i="46"/>
  <c r="C139" i="46"/>
  <c r="C84" i="44"/>
  <c r="C87" i="45"/>
  <c r="C86" i="45"/>
  <c r="C118" i="43"/>
  <c r="K39" i="2" l="1"/>
  <c r="K35" i="2" l="1"/>
  <c r="K40" i="2"/>
  <c r="D11" i="2" l="1"/>
  <c r="AI32" i="10" s="1"/>
  <c r="AI33" i="10" s="1"/>
  <c r="D60" i="10"/>
  <c r="C60" i="10"/>
  <c r="D54" i="10"/>
  <c r="C54" i="10"/>
  <c r="AK44" i="10"/>
  <c r="AJ44" i="10"/>
  <c r="AI44" i="10"/>
  <c r="AH44" i="10"/>
  <c r="AG44" i="10"/>
  <c r="AF44" i="10"/>
  <c r="AE44" i="10"/>
  <c r="AD44" i="10"/>
  <c r="AC44" i="10"/>
  <c r="AB44" i="10"/>
  <c r="AA44" i="10"/>
  <c r="Z44" i="10"/>
  <c r="Y44" i="10"/>
  <c r="X44" i="10"/>
  <c r="W44" i="10"/>
  <c r="V44" i="10"/>
  <c r="U44" i="10"/>
  <c r="T44" i="10"/>
  <c r="S44" i="10"/>
  <c r="R44" i="10"/>
  <c r="Q44" i="10"/>
  <c r="P44" i="10"/>
  <c r="O44" i="10"/>
  <c r="N44" i="10"/>
  <c r="AK40" i="10"/>
  <c r="AJ40" i="10"/>
  <c r="AI40" i="10"/>
  <c r="AH40" i="10"/>
  <c r="AG40" i="10"/>
  <c r="AF40" i="10"/>
  <c r="AE40" i="10"/>
  <c r="AD40" i="10"/>
  <c r="AC40" i="10"/>
  <c r="AB40" i="10"/>
  <c r="AA40" i="10"/>
  <c r="Z40" i="10"/>
  <c r="Y40" i="10"/>
  <c r="X40" i="10"/>
  <c r="W40" i="10"/>
  <c r="V40" i="10"/>
  <c r="U40" i="10"/>
  <c r="T40" i="10"/>
  <c r="S40" i="10"/>
  <c r="R40" i="10"/>
  <c r="Q40" i="10"/>
  <c r="P40" i="10"/>
  <c r="O40" i="10"/>
  <c r="N40" i="10"/>
  <c r="AK36" i="10"/>
  <c r="AJ36" i="10"/>
  <c r="AI36" i="10"/>
  <c r="AH36" i="10"/>
  <c r="AG36" i="10"/>
  <c r="AF36" i="10"/>
  <c r="AE36" i="10"/>
  <c r="AD36" i="10"/>
  <c r="AC36" i="10"/>
  <c r="AB36" i="10"/>
  <c r="AA36" i="10"/>
  <c r="Z36" i="10"/>
  <c r="Y36" i="10"/>
  <c r="X36" i="10"/>
  <c r="W36" i="10"/>
  <c r="V36" i="10"/>
  <c r="U36" i="10"/>
  <c r="T36" i="10"/>
  <c r="S36" i="10"/>
  <c r="R36" i="10"/>
  <c r="Q36" i="10"/>
  <c r="P36" i="10"/>
  <c r="O36" i="10"/>
  <c r="N36" i="10"/>
  <c r="AK28" i="10"/>
  <c r="AJ28" i="10"/>
  <c r="AI28" i="10"/>
  <c r="AH28" i="10"/>
  <c r="AG28" i="10"/>
  <c r="AF28" i="10"/>
  <c r="AE28" i="10"/>
  <c r="AD28" i="10"/>
  <c r="AC28" i="10"/>
  <c r="AB28" i="10"/>
  <c r="AA28" i="10"/>
  <c r="Z28" i="10"/>
  <c r="Y28" i="10"/>
  <c r="X28" i="10"/>
  <c r="W28" i="10"/>
  <c r="V28" i="10"/>
  <c r="U28" i="10"/>
  <c r="T28" i="10"/>
  <c r="S28" i="10"/>
  <c r="R28" i="10"/>
  <c r="Q28" i="10"/>
  <c r="P28" i="10"/>
  <c r="O28" i="10"/>
  <c r="N28" i="10"/>
  <c r="AK24" i="10"/>
  <c r="AJ24" i="10"/>
  <c r="AI24" i="10"/>
  <c r="AH24" i="10"/>
  <c r="AG24" i="10"/>
  <c r="AF24" i="10"/>
  <c r="AE24" i="10"/>
  <c r="AD24" i="10"/>
  <c r="AC24" i="10"/>
  <c r="AB24" i="10"/>
  <c r="AA24" i="10"/>
  <c r="Z24" i="10"/>
  <c r="Y24" i="10"/>
  <c r="X24" i="10"/>
  <c r="W24" i="10"/>
  <c r="V24" i="10"/>
  <c r="U24" i="10"/>
  <c r="T24" i="10"/>
  <c r="S24" i="10"/>
  <c r="R24" i="10"/>
  <c r="Q24" i="10"/>
  <c r="P24" i="10"/>
  <c r="O24" i="10"/>
  <c r="N24" i="10"/>
  <c r="AK20" i="10"/>
  <c r="AJ20" i="10"/>
  <c r="AI20" i="10"/>
  <c r="AH20" i="10"/>
  <c r="AG20" i="10"/>
  <c r="AF20" i="10"/>
  <c r="AE20" i="10"/>
  <c r="AD20" i="10"/>
  <c r="AC20" i="10"/>
  <c r="AB20" i="10"/>
  <c r="AA20" i="10"/>
  <c r="Z20" i="10"/>
  <c r="Y20" i="10"/>
  <c r="X20" i="10"/>
  <c r="W20" i="10"/>
  <c r="V20" i="10"/>
  <c r="U20" i="10"/>
  <c r="T20" i="10"/>
  <c r="S20" i="10"/>
  <c r="R20" i="10"/>
  <c r="Q20" i="10"/>
  <c r="P20" i="10"/>
  <c r="O20" i="10"/>
  <c r="N20" i="10"/>
  <c r="AK16" i="10"/>
  <c r="AK17" i="10" s="1"/>
  <c r="AJ16" i="10"/>
  <c r="AJ17" i="10" s="1"/>
  <c r="AI16" i="10"/>
  <c r="AI17" i="10" s="1"/>
  <c r="AH16" i="10"/>
  <c r="AH17" i="10" s="1"/>
  <c r="AG16" i="10"/>
  <c r="AG17" i="10" s="1"/>
  <c r="AF16" i="10"/>
  <c r="AF17" i="10" s="1"/>
  <c r="AE16" i="10"/>
  <c r="AE17" i="10" s="1"/>
  <c r="AD16" i="10"/>
  <c r="AD17" i="10" s="1"/>
  <c r="AC16" i="10"/>
  <c r="AC17" i="10" s="1"/>
  <c r="AB16" i="10"/>
  <c r="AB17" i="10" s="1"/>
  <c r="AA16" i="10"/>
  <c r="AA17" i="10" s="1"/>
  <c r="Z16" i="10"/>
  <c r="Z17" i="10" s="1"/>
  <c r="Y16" i="10"/>
  <c r="Y17" i="10" s="1"/>
  <c r="X16" i="10"/>
  <c r="X17" i="10" s="1"/>
  <c r="W16" i="10"/>
  <c r="W17" i="10" s="1"/>
  <c r="V16" i="10"/>
  <c r="V17" i="10" s="1"/>
  <c r="U16" i="10"/>
  <c r="U17" i="10" s="1"/>
  <c r="T16" i="10"/>
  <c r="T17" i="10" s="1"/>
  <c r="S16" i="10"/>
  <c r="S17" i="10" s="1"/>
  <c r="R16" i="10"/>
  <c r="R17" i="10" s="1"/>
  <c r="Q16" i="10"/>
  <c r="Q17" i="10" s="1"/>
  <c r="P16" i="10"/>
  <c r="P17" i="10" s="1"/>
  <c r="O16" i="10"/>
  <c r="O17" i="10" s="1"/>
  <c r="N16" i="10"/>
  <c r="N17" i="10" s="1"/>
  <c r="AK32" i="10" l="1"/>
  <c r="AK33" i="10" s="1"/>
  <c r="AK37" i="10" s="1"/>
  <c r="V32" i="10"/>
  <c r="V33" i="10" s="1"/>
  <c r="V37" i="10" s="1"/>
  <c r="N32" i="10"/>
  <c r="N33" i="10" s="1"/>
  <c r="N37" i="10" s="1"/>
  <c r="U32" i="10"/>
  <c r="U33" i="10" s="1"/>
  <c r="U41" i="10" s="1"/>
  <c r="T32" i="10"/>
  <c r="T33" i="10" s="1"/>
  <c r="T45" i="10" s="1"/>
  <c r="Z32" i="10"/>
  <c r="Z33" i="10" s="1"/>
  <c r="Z37" i="10" s="1"/>
  <c r="AB32" i="10"/>
  <c r="AB33" i="10" s="1"/>
  <c r="AB45" i="10" s="1"/>
  <c r="Y32" i="10"/>
  <c r="Y33" i="10" s="1"/>
  <c r="Y37" i="10" s="1"/>
  <c r="O32" i="10"/>
  <c r="O33" i="10" s="1"/>
  <c r="O41" i="10" s="1"/>
  <c r="AD32" i="10"/>
  <c r="AD33" i="10" s="1"/>
  <c r="AD41" i="10" s="1"/>
  <c r="Q32" i="10"/>
  <c r="Q33" i="10" s="1"/>
  <c r="Q37" i="10" s="1"/>
  <c r="AE32" i="10"/>
  <c r="AE33" i="10" s="1"/>
  <c r="AE45" i="10" s="1"/>
  <c r="R32" i="10"/>
  <c r="R33" i="10" s="1"/>
  <c r="R41" i="10" s="1"/>
  <c r="AC32" i="10"/>
  <c r="AC33" i="10" s="1"/>
  <c r="AC41" i="10" s="1"/>
  <c r="AG32" i="10"/>
  <c r="AG33" i="10" s="1"/>
  <c r="AG45" i="10" s="1"/>
  <c r="W32" i="10"/>
  <c r="W33" i="10" s="1"/>
  <c r="W41" i="10" s="1"/>
  <c r="AJ32" i="10"/>
  <c r="AJ33" i="10" s="1"/>
  <c r="AJ37" i="10" s="1"/>
  <c r="P32" i="10"/>
  <c r="P33" i="10" s="1"/>
  <c r="P37" i="10" s="1"/>
  <c r="X32" i="10"/>
  <c r="X33" i="10" s="1"/>
  <c r="X41" i="10" s="1"/>
  <c r="AF32" i="10"/>
  <c r="AF33" i="10" s="1"/>
  <c r="AF37" i="10" s="1"/>
  <c r="AH32" i="10"/>
  <c r="AH33" i="10" s="1"/>
  <c r="AH41" i="10" s="1"/>
  <c r="S32" i="10"/>
  <c r="S33" i="10" s="1"/>
  <c r="S45" i="10" s="1"/>
  <c r="AA32" i="10"/>
  <c r="AA33" i="10" s="1"/>
  <c r="AA37" i="10" s="1"/>
  <c r="N21" i="10"/>
  <c r="AD21" i="10"/>
  <c r="AD29" i="10"/>
  <c r="V21" i="10"/>
  <c r="N25" i="10"/>
  <c r="AD25" i="10"/>
  <c r="V29" i="10"/>
  <c r="AF21" i="10"/>
  <c r="P21" i="10"/>
  <c r="AJ21" i="10"/>
  <c r="AJ25" i="10"/>
  <c r="X21" i="10"/>
  <c r="T21" i="10"/>
  <c r="AB21" i="10"/>
  <c r="T25" i="10"/>
  <c r="AB25" i="10"/>
  <c r="P25" i="10"/>
  <c r="X25" i="10"/>
  <c r="AF25" i="10"/>
  <c r="P29" i="10"/>
  <c r="X29" i="10"/>
  <c r="AF29" i="10"/>
  <c r="O21" i="10"/>
  <c r="W21" i="10"/>
  <c r="AE21" i="10"/>
  <c r="O25" i="10"/>
  <c r="W25" i="10"/>
  <c r="AE25" i="10"/>
  <c r="O29" i="10"/>
  <c r="W29" i="10"/>
  <c r="AE29" i="10"/>
  <c r="Q21" i="10"/>
  <c r="Y21" i="10"/>
  <c r="AG21" i="10"/>
  <c r="Q25" i="10"/>
  <c r="Y25" i="10"/>
  <c r="AG25" i="10"/>
  <c r="Q29" i="10"/>
  <c r="Y29" i="10"/>
  <c r="AG29" i="10"/>
  <c r="R21" i="10"/>
  <c r="Z21" i="10"/>
  <c r="AH21" i="10"/>
  <c r="R25" i="10"/>
  <c r="Z25" i="10"/>
  <c r="AH25" i="10"/>
  <c r="R29" i="10"/>
  <c r="Z29" i="10"/>
  <c r="AH29" i="10"/>
  <c r="S21" i="10"/>
  <c r="AA21" i="10"/>
  <c r="AI21" i="10"/>
  <c r="S25" i="10"/>
  <c r="AA25" i="10"/>
  <c r="AI25" i="10"/>
  <c r="S29" i="10"/>
  <c r="AA29" i="10"/>
  <c r="AI29" i="10"/>
  <c r="AI37" i="10"/>
  <c r="AI41" i="10"/>
  <c r="AI45" i="10"/>
  <c r="T29" i="10"/>
  <c r="AB29" i="10"/>
  <c r="AJ29" i="10"/>
  <c r="N29" i="10"/>
  <c r="V25" i="10"/>
  <c r="U21" i="10"/>
  <c r="AC21" i="10"/>
  <c r="AK21" i="10"/>
  <c r="U25" i="10"/>
  <c r="AC25" i="10"/>
  <c r="AK25" i="10"/>
  <c r="U29" i="10"/>
  <c r="AC29" i="10"/>
  <c r="AK29" i="10"/>
  <c r="AK41" i="10" l="1"/>
  <c r="AK45" i="10"/>
  <c r="AJ45" i="10"/>
  <c r="AB41" i="10"/>
  <c r="Y45" i="10"/>
  <c r="W37" i="10"/>
  <c r="AC37" i="10"/>
  <c r="V45" i="10"/>
  <c r="V41" i="10"/>
  <c r="X45" i="10"/>
  <c r="N41" i="10"/>
  <c r="U37" i="10"/>
  <c r="Q45" i="10"/>
  <c r="Q41" i="10"/>
  <c r="N45" i="10"/>
  <c r="U45" i="10"/>
  <c r="AE41" i="10"/>
  <c r="T41" i="10"/>
  <c r="AE37" i="10"/>
  <c r="AH45" i="10"/>
  <c r="Z45" i="10"/>
  <c r="T37" i="10"/>
  <c r="Z41" i="10"/>
  <c r="AB37" i="10"/>
  <c r="AH37" i="10"/>
  <c r="O37" i="10"/>
  <c r="W45" i="10"/>
  <c r="AJ41" i="10"/>
  <c r="AG41" i="10"/>
  <c r="O45" i="10"/>
  <c r="AD45" i="10"/>
  <c r="P45" i="10"/>
  <c r="Y41" i="10"/>
  <c r="AD37" i="10"/>
  <c r="R37" i="10"/>
  <c r="AG37" i="10"/>
  <c r="AA41" i="10"/>
  <c r="R45" i="10"/>
  <c r="AC45" i="10"/>
  <c r="AA45" i="10"/>
  <c r="S41" i="10"/>
  <c r="AF41" i="10"/>
  <c r="AF45" i="10"/>
  <c r="P41" i="10"/>
  <c r="S37" i="10"/>
  <c r="X37" i="10"/>
  <c r="D12" i="2" l="1"/>
  <c r="C138" i="46" l="1"/>
  <c r="C119" i="43"/>
  <c r="C111" i="41"/>
  <c r="F13" i="47" l="1"/>
  <c r="F12" i="47"/>
  <c r="F11" i="47"/>
  <c r="F10" i="47"/>
  <c r="I10" i="47" s="1"/>
  <c r="H13" i="47"/>
  <c r="H12" i="47"/>
  <c r="H11" i="47"/>
  <c r="H10" i="47"/>
  <c r="F52" i="2"/>
  <c r="F51" i="2"/>
  <c r="F50" i="2"/>
  <c r="E52" i="2"/>
  <c r="E51" i="2"/>
  <c r="E50" i="2"/>
  <c r="C143" i="46"/>
  <c r="D50" i="2" s="1"/>
  <c r="D51" i="2"/>
  <c r="D52" i="2"/>
  <c r="I13" i="47" l="1"/>
  <c r="I11" i="47"/>
  <c r="I12" i="47"/>
  <c r="I9" i="47"/>
  <c r="I9" i="5" s="1"/>
  <c r="J9" i="5" s="1"/>
  <c r="C85" i="45" s="1"/>
  <c r="I15" i="47"/>
  <c r="D38" i="2"/>
  <c r="C140" i="46"/>
  <c r="F38" i="2" s="1"/>
  <c r="C88" i="45"/>
  <c r="D34" i="2" s="1"/>
  <c r="F34" i="2"/>
  <c r="C83" i="45"/>
  <c r="C85" i="44"/>
  <c r="D35" i="2" s="1"/>
  <c r="F35" i="2"/>
  <c r="C80" i="44"/>
  <c r="C122" i="43"/>
  <c r="D39" i="2" s="1"/>
  <c r="E15" i="30" l="1"/>
  <c r="F15" i="30"/>
  <c r="F15" i="26"/>
  <c r="E15" i="26"/>
  <c r="F14" i="30"/>
  <c r="E14" i="30"/>
  <c r="E14" i="26"/>
  <c r="F14" i="26"/>
  <c r="C93" i="40"/>
  <c r="C82" i="44"/>
  <c r="F39" i="2"/>
  <c r="F40" i="2"/>
  <c r="C115" i="41"/>
  <c r="D40" i="2" s="1"/>
  <c r="G40" i="2"/>
  <c r="C110" i="41"/>
  <c r="E29" i="2" s="1"/>
  <c r="C94" i="40"/>
  <c r="G36" i="2" s="1"/>
  <c r="C91" i="40"/>
  <c r="C97" i="40"/>
  <c r="C95" i="40"/>
  <c r="C96" i="40" s="1"/>
  <c r="F36" i="2" s="1"/>
  <c r="J119" i="46"/>
  <c r="H119" i="46"/>
  <c r="J117" i="46"/>
  <c r="H117" i="46"/>
  <c r="G38" i="2" s="1"/>
  <c r="F117" i="46"/>
  <c r="F120" i="46" l="1"/>
  <c r="H120" i="46" s="1"/>
  <c r="J120" i="46" s="1"/>
  <c r="C137" i="46"/>
  <c r="E27" i="2" s="1"/>
  <c r="C99" i="40"/>
  <c r="D36" i="2" s="1"/>
  <c r="C98" i="40"/>
  <c r="J66" i="45"/>
  <c r="J67" i="45" s="1"/>
  <c r="J68" i="45" s="1"/>
  <c r="G66" i="45"/>
  <c r="D66" i="45"/>
  <c r="J64" i="45"/>
  <c r="J65" i="45" s="1"/>
  <c r="G64" i="45"/>
  <c r="G34" i="2" s="1"/>
  <c r="D64" i="45"/>
  <c r="D65" i="45" s="1"/>
  <c r="G65" i="45" l="1"/>
  <c r="D67" i="45"/>
  <c r="D68" i="45" s="1"/>
  <c r="G67" i="45"/>
  <c r="G68" i="45" s="1"/>
  <c r="G66" i="44"/>
  <c r="D66" i="44"/>
  <c r="I63" i="44"/>
  <c r="G64" i="44" s="1"/>
  <c r="C83" i="44" s="1"/>
  <c r="G35" i="2" s="1"/>
  <c r="F63" i="44"/>
  <c r="D64" i="44" s="1"/>
  <c r="D67" i="44" l="1"/>
  <c r="D68" i="44" s="1"/>
  <c r="D65" i="44"/>
  <c r="G67" i="44"/>
  <c r="G68" i="44" s="1"/>
  <c r="G65" i="44"/>
  <c r="O99" i="43" l="1"/>
  <c r="M99" i="43"/>
  <c r="K99" i="43"/>
  <c r="I99" i="43"/>
  <c r="P96" i="43"/>
  <c r="N96" i="43"/>
  <c r="L96" i="43"/>
  <c r="J96" i="43"/>
  <c r="H96" i="43"/>
  <c r="F96" i="43"/>
  <c r="P86" i="43"/>
  <c r="N86" i="43"/>
  <c r="L86" i="43"/>
  <c r="J86" i="43"/>
  <c r="H86" i="43"/>
  <c r="F86" i="43"/>
  <c r="P66" i="43"/>
  <c r="N66" i="43"/>
  <c r="L66" i="43"/>
  <c r="J66" i="43"/>
  <c r="H66" i="43"/>
  <c r="F66" i="43"/>
  <c r="P39" i="43"/>
  <c r="N39" i="43"/>
  <c r="M97" i="43" s="1"/>
  <c r="L39" i="43"/>
  <c r="J39" i="43"/>
  <c r="H39" i="43"/>
  <c r="F39" i="43"/>
  <c r="E97" i="43" l="1"/>
  <c r="K97" i="43"/>
  <c r="E100" i="43"/>
  <c r="G97" i="43"/>
  <c r="O97" i="43"/>
  <c r="G39" i="2" s="1"/>
  <c r="I97" i="43"/>
  <c r="E28" i="2" l="1"/>
  <c r="G100" i="43"/>
  <c r="I100" i="43" s="1"/>
  <c r="K100" i="43" s="1"/>
  <c r="M100" i="43" s="1"/>
  <c r="O100" i="43" s="1"/>
  <c r="E40" i="2" l="1"/>
  <c r="E39" i="2" l="1"/>
  <c r="E38" i="2"/>
  <c r="E35" i="2" l="1"/>
  <c r="E34" i="2"/>
  <c r="N60" i="28" l="1"/>
  <c r="M12" i="10" s="1"/>
  <c r="M60" i="28"/>
  <c r="L12" i="10" s="1"/>
  <c r="L60" i="28"/>
  <c r="K12" i="10" s="1"/>
  <c r="K60" i="28"/>
  <c r="J12" i="10" s="1"/>
  <c r="J60" i="28"/>
  <c r="I12" i="10" s="1"/>
  <c r="I60" i="28"/>
  <c r="H12" i="10" s="1"/>
  <c r="H60" i="28"/>
  <c r="G12" i="10" s="1"/>
  <c r="G60" i="28"/>
  <c r="F12" i="10" s="1"/>
  <c r="F60" i="28"/>
  <c r="E12" i="10" s="1"/>
  <c r="E60" i="28"/>
  <c r="D12" i="10" s="1"/>
  <c r="D60" i="28"/>
  <c r="C12" i="10" s="1"/>
  <c r="C45" i="28"/>
  <c r="C30" i="28"/>
  <c r="C23" i="28"/>
  <c r="E36" i="2" l="1"/>
  <c r="E35" i="31" l="1"/>
  <c r="E34" i="31"/>
  <c r="E33" i="31"/>
  <c r="E32" i="31"/>
  <c r="AN31" i="31"/>
  <c r="AM31" i="31"/>
  <c r="AL31" i="31"/>
  <c r="AK31" i="31"/>
  <c r="AJ31" i="31"/>
  <c r="AI31" i="31"/>
  <c r="AH31" i="31"/>
  <c r="AG31" i="31"/>
  <c r="AF31" i="31"/>
  <c r="AE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O31" i="31"/>
  <c r="N31" i="31"/>
  <c r="M31" i="31"/>
  <c r="L31" i="31"/>
  <c r="K31" i="31"/>
  <c r="J31" i="31"/>
  <c r="I31" i="31"/>
  <c r="H31" i="31"/>
  <c r="G31" i="31"/>
  <c r="F31" i="31"/>
  <c r="E30" i="31"/>
  <c r="E29" i="31"/>
  <c r="E28" i="31"/>
  <c r="E27" i="31"/>
  <c r="E26" i="31"/>
  <c r="E25" i="31"/>
  <c r="E24" i="31"/>
  <c r="E23" i="31"/>
  <c r="AN22" i="31"/>
  <c r="AM22" i="31"/>
  <c r="AL22" i="31"/>
  <c r="AK22" i="31"/>
  <c r="AJ22" i="31"/>
  <c r="AI22" i="31"/>
  <c r="AH22" i="31"/>
  <c r="AG22" i="31"/>
  <c r="AF22" i="31"/>
  <c r="AE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O22" i="31"/>
  <c r="N22" i="31"/>
  <c r="M22" i="31"/>
  <c r="L22" i="31"/>
  <c r="K22" i="31"/>
  <c r="J22" i="31"/>
  <c r="I22" i="31"/>
  <c r="H22" i="31"/>
  <c r="G22" i="31"/>
  <c r="F22" i="31"/>
  <c r="E21" i="31"/>
  <c r="E20" i="31"/>
  <c r="E19" i="31"/>
  <c r="E18" i="31"/>
  <c r="E17" i="31"/>
  <c r="AN16" i="31"/>
  <c r="AM16" i="31"/>
  <c r="AL16" i="31"/>
  <c r="AK16" i="31"/>
  <c r="AJ16" i="31"/>
  <c r="AI16" i="31"/>
  <c r="AH16" i="31"/>
  <c r="AG16" i="31"/>
  <c r="AF16" i="31"/>
  <c r="AE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O16" i="31"/>
  <c r="N16" i="31"/>
  <c r="M16" i="31"/>
  <c r="L16" i="31"/>
  <c r="K16" i="31"/>
  <c r="J16" i="31"/>
  <c r="I16" i="31"/>
  <c r="H16" i="31"/>
  <c r="G16" i="31"/>
  <c r="F16" i="31"/>
  <c r="E15" i="31"/>
  <c r="E14" i="31"/>
  <c r="E13" i="31"/>
  <c r="AN12" i="31"/>
  <c r="AN36" i="31" s="1"/>
  <c r="AM12" i="31"/>
  <c r="AM36" i="31" s="1"/>
  <c r="AL12" i="31"/>
  <c r="AK12" i="31"/>
  <c r="AK36" i="31" s="1"/>
  <c r="AJ12" i="31"/>
  <c r="AI12" i="31"/>
  <c r="AI36" i="31" s="1"/>
  <c r="AH12" i="31"/>
  <c r="AG12" i="31"/>
  <c r="AG36" i="31" s="1"/>
  <c r="AF12" i="31"/>
  <c r="AF36" i="31" s="1"/>
  <c r="AE12" i="31"/>
  <c r="AE36" i="31" s="1"/>
  <c r="AD12" i="31"/>
  <c r="AC12" i="31"/>
  <c r="AC36" i="31" s="1"/>
  <c r="AB12" i="31"/>
  <c r="AA12" i="31"/>
  <c r="AA36" i="31" s="1"/>
  <c r="Z12" i="31"/>
  <c r="Y12" i="31"/>
  <c r="Y36" i="31" s="1"/>
  <c r="X12" i="31"/>
  <c r="X36" i="31" s="1"/>
  <c r="W12" i="31"/>
  <c r="V12" i="31"/>
  <c r="U12" i="31"/>
  <c r="U36" i="31" s="1"/>
  <c r="T12" i="31"/>
  <c r="S12" i="31"/>
  <c r="S36" i="31" s="1"/>
  <c r="R12" i="31"/>
  <c r="Q12" i="31"/>
  <c r="Q36" i="31" s="1"/>
  <c r="P12" i="31"/>
  <c r="P36" i="31" s="1"/>
  <c r="O12" i="31"/>
  <c r="N12" i="31"/>
  <c r="M12" i="31"/>
  <c r="M36" i="31" s="1"/>
  <c r="L12" i="31"/>
  <c r="K12" i="31"/>
  <c r="K36" i="31" s="1"/>
  <c r="J12" i="31"/>
  <c r="I12" i="31"/>
  <c r="I36" i="31" s="1"/>
  <c r="H12" i="31"/>
  <c r="G12" i="31"/>
  <c r="G36" i="31" s="1"/>
  <c r="F12" i="31"/>
  <c r="T32" i="30" l="1"/>
  <c r="T32" i="26"/>
  <c r="F32" i="26"/>
  <c r="F32" i="30"/>
  <c r="AD32" i="26"/>
  <c r="AD32" i="30"/>
  <c r="AL32" i="26"/>
  <c r="AL32" i="30"/>
  <c r="AE32" i="26"/>
  <c r="AE32" i="30"/>
  <c r="AM32" i="30"/>
  <c r="AM32" i="26"/>
  <c r="J36" i="31"/>
  <c r="R36" i="31"/>
  <c r="Z36" i="31"/>
  <c r="AH36" i="31"/>
  <c r="O36" i="31"/>
  <c r="W36" i="31"/>
  <c r="W32" i="30"/>
  <c r="W32" i="26"/>
  <c r="H32" i="30"/>
  <c r="H32" i="26"/>
  <c r="X32" i="30"/>
  <c r="X32" i="26"/>
  <c r="AF32" i="30"/>
  <c r="AF32" i="26"/>
  <c r="P32" i="30"/>
  <c r="P32" i="26"/>
  <c r="R32" i="26"/>
  <c r="R32" i="30"/>
  <c r="Z32" i="26"/>
  <c r="Z32" i="30"/>
  <c r="AH32" i="26"/>
  <c r="AH32" i="30"/>
  <c r="J32" i="26"/>
  <c r="J32" i="30"/>
  <c r="E16" i="31"/>
  <c r="O32" i="30"/>
  <c r="O32" i="26"/>
  <c r="L32" i="30"/>
  <c r="L32" i="26"/>
  <c r="AB32" i="26"/>
  <c r="AB32" i="30"/>
  <c r="AJ32" i="30"/>
  <c r="AJ32" i="26"/>
  <c r="E31" i="31"/>
  <c r="L36" i="31"/>
  <c r="T36" i="31"/>
  <c r="AB36" i="31"/>
  <c r="AJ36" i="31"/>
  <c r="F36" i="31"/>
  <c r="N36" i="31"/>
  <c r="V36" i="31"/>
  <c r="AD36" i="31"/>
  <c r="AL36" i="31"/>
  <c r="E22" i="31"/>
  <c r="E12" i="31"/>
  <c r="H36" i="31"/>
  <c r="S32" i="26" l="1"/>
  <c r="S32" i="30"/>
  <c r="AG32" i="30"/>
  <c r="AG32" i="26"/>
  <c r="K32" i="26"/>
  <c r="K32" i="30"/>
  <c r="Y32" i="30"/>
  <c r="Y32" i="26"/>
  <c r="AC32" i="26"/>
  <c r="AC32" i="30"/>
  <c r="Q32" i="30"/>
  <c r="Q32" i="26"/>
  <c r="I32" i="30"/>
  <c r="I32" i="26"/>
  <c r="U32" i="26"/>
  <c r="U32" i="30"/>
  <c r="M32" i="26"/>
  <c r="M32" i="30"/>
  <c r="E36" i="31"/>
  <c r="E32" i="26"/>
  <c r="E32" i="30"/>
  <c r="G32" i="30"/>
  <c r="G32" i="26"/>
  <c r="AI32" i="26"/>
  <c r="AI32" i="30"/>
  <c r="V32" i="26"/>
  <c r="V32" i="30"/>
  <c r="AK32" i="26"/>
  <c r="AK32" i="30"/>
  <c r="AA32" i="26"/>
  <c r="AA32" i="30"/>
  <c r="N32" i="26"/>
  <c r="N32" i="30"/>
  <c r="M44" i="10"/>
  <c r="L44" i="10"/>
  <c r="K44" i="10"/>
  <c r="J44" i="10"/>
  <c r="I44" i="10"/>
  <c r="H44" i="10"/>
  <c r="G44" i="10"/>
  <c r="F44" i="10"/>
  <c r="E44" i="10"/>
  <c r="D44" i="10"/>
  <c r="C44" i="10"/>
  <c r="M40" i="10"/>
  <c r="L40" i="10"/>
  <c r="K40" i="10"/>
  <c r="J40" i="10"/>
  <c r="I40" i="10"/>
  <c r="H40" i="10"/>
  <c r="G40" i="10"/>
  <c r="F40" i="10"/>
  <c r="E40" i="10"/>
  <c r="D40" i="10"/>
  <c r="C40" i="10"/>
  <c r="M36" i="10"/>
  <c r="L36" i="10"/>
  <c r="K36" i="10"/>
  <c r="J36" i="10"/>
  <c r="I36" i="10"/>
  <c r="H36" i="10"/>
  <c r="G36" i="10"/>
  <c r="F36" i="10"/>
  <c r="E36" i="10"/>
  <c r="D36" i="10"/>
  <c r="C36" i="10"/>
  <c r="C32" i="26" l="1"/>
  <c r="C32" i="30"/>
  <c r="M32" i="10"/>
  <c r="I32" i="10"/>
  <c r="E32" i="10"/>
  <c r="F32" i="10"/>
  <c r="L32" i="10"/>
  <c r="H32" i="10"/>
  <c r="D32" i="10"/>
  <c r="K32" i="10"/>
  <c r="G32" i="10"/>
  <c r="C32" i="10"/>
  <c r="J32" i="10"/>
  <c r="D92" i="26" l="1"/>
  <c r="D91" i="26"/>
  <c r="K30" i="2" l="1"/>
  <c r="C62" i="26" l="1"/>
  <c r="C14" i="29"/>
  <c r="C13" i="29"/>
  <c r="C12" i="29"/>
  <c r="C69" i="30" l="1"/>
  <c r="AM20" i="29"/>
  <c r="AM63" i="30" s="1"/>
  <c r="AL20" i="29"/>
  <c r="AL63" i="30" s="1"/>
  <c r="AK20" i="29"/>
  <c r="AK63" i="30" s="1"/>
  <c r="AJ20" i="29"/>
  <c r="AJ63" i="30" s="1"/>
  <c r="AI20" i="29"/>
  <c r="AI63" i="30" s="1"/>
  <c r="AH20" i="29"/>
  <c r="AH63" i="30" s="1"/>
  <c r="AG20" i="29"/>
  <c r="AG63" i="30" s="1"/>
  <c r="AF20" i="29"/>
  <c r="AF63" i="30" s="1"/>
  <c r="AE20" i="29"/>
  <c r="AE63" i="30" s="1"/>
  <c r="AD20" i="29"/>
  <c r="AD63" i="30" s="1"/>
  <c r="AC20" i="29"/>
  <c r="AC63" i="30" s="1"/>
  <c r="AB20" i="29"/>
  <c r="AB63" i="30" s="1"/>
  <c r="AA20" i="29"/>
  <c r="AA63" i="30" s="1"/>
  <c r="Z20" i="29"/>
  <c r="Z63" i="30" s="1"/>
  <c r="Y20" i="29"/>
  <c r="Y63" i="30" s="1"/>
  <c r="X20" i="29"/>
  <c r="X63" i="30" s="1"/>
  <c r="W20" i="29"/>
  <c r="W63" i="30" s="1"/>
  <c r="V20" i="29"/>
  <c r="V63" i="30" s="1"/>
  <c r="U20" i="29"/>
  <c r="U63" i="30" s="1"/>
  <c r="T20" i="29"/>
  <c r="T63" i="30" s="1"/>
  <c r="S20" i="29"/>
  <c r="S63" i="30" s="1"/>
  <c r="R20" i="29"/>
  <c r="R63" i="30" s="1"/>
  <c r="Q20" i="29"/>
  <c r="Q63" i="30" s="1"/>
  <c r="P20" i="29"/>
  <c r="P63" i="30" s="1"/>
  <c r="O20" i="29"/>
  <c r="O63" i="30" s="1"/>
  <c r="N20" i="29"/>
  <c r="N63" i="30" s="1"/>
  <c r="M20" i="29"/>
  <c r="M63" i="30" s="1"/>
  <c r="L20" i="29"/>
  <c r="L63" i="30" s="1"/>
  <c r="E19" i="29"/>
  <c r="E14" i="29"/>
  <c r="E15" i="29" s="1"/>
  <c r="E13" i="29"/>
  <c r="E16" i="29" s="1"/>
  <c r="E12" i="29"/>
  <c r="F12" i="29" s="1"/>
  <c r="E11" i="29"/>
  <c r="F11" i="29" s="1"/>
  <c r="G11" i="29" s="1"/>
  <c r="H11" i="29" s="1"/>
  <c r="I11" i="29" s="1"/>
  <c r="J11" i="29" s="1"/>
  <c r="K11" i="29" s="1"/>
  <c r="AJ30" i="29" l="1"/>
  <c r="F14" i="29"/>
  <c r="AK30" i="29"/>
  <c r="AC30" i="29"/>
  <c r="U30" i="29"/>
  <c r="V30" i="29"/>
  <c r="AD30" i="29"/>
  <c r="AL30" i="29"/>
  <c r="W30" i="29"/>
  <c r="AE30" i="29"/>
  <c r="AM30" i="29"/>
  <c r="X30" i="29"/>
  <c r="AF30" i="29"/>
  <c r="F13" i="29"/>
  <c r="E30" i="29"/>
  <c r="Y30" i="29"/>
  <c r="AG30" i="29"/>
  <c r="F30" i="29"/>
  <c r="Z30" i="29"/>
  <c r="AH30" i="29"/>
  <c r="G30" i="29"/>
  <c r="AA30" i="29"/>
  <c r="AI30" i="29"/>
  <c r="T30" i="29"/>
  <c r="AB30" i="29"/>
  <c r="E35" i="29"/>
  <c r="E36" i="29" s="1"/>
  <c r="G12" i="29"/>
  <c r="C60" i="28"/>
  <c r="M58" i="28"/>
  <c r="L58" i="28"/>
  <c r="K58" i="28"/>
  <c r="J58" i="28"/>
  <c r="C43" i="28"/>
  <c r="C41" i="28"/>
  <c r="C38" i="28"/>
  <c r="C37" i="28" s="1"/>
  <c r="C35" i="28"/>
  <c r="C33" i="28"/>
  <c r="C32" i="28" s="1"/>
  <c r="C28" i="28"/>
  <c r="C26" i="28"/>
  <c r="C25" i="28" s="1"/>
  <c r="C21" i="28"/>
  <c r="C19" i="28"/>
  <c r="C18" i="28" s="1"/>
  <c r="E11" i="2" l="1"/>
  <c r="E10" i="2"/>
  <c r="AN86" i="26"/>
  <c r="AN120" i="30"/>
  <c r="C16" i="28"/>
  <c r="C15" i="28" s="1"/>
  <c r="C47" i="28"/>
  <c r="L8" i="2" s="1"/>
  <c r="C40" i="28"/>
  <c r="G14" i="29"/>
  <c r="F15" i="29"/>
  <c r="F16" i="29"/>
  <c r="G13" i="29"/>
  <c r="H12" i="29"/>
  <c r="E42" i="29"/>
  <c r="E58" i="28"/>
  <c r="I58" i="28"/>
  <c r="N58" i="28"/>
  <c r="G58" i="28"/>
  <c r="H58" i="28"/>
  <c r="E12" i="2" l="1"/>
  <c r="H14" i="29"/>
  <c r="G15" i="29"/>
  <c r="AK37" i="29"/>
  <c r="AC37" i="29"/>
  <c r="U37" i="29"/>
  <c r="AJ37" i="29"/>
  <c r="AB37" i="29"/>
  <c r="H37" i="29"/>
  <c r="AL37" i="29"/>
  <c r="AI37" i="29"/>
  <c r="AA37" i="29"/>
  <c r="G37" i="29"/>
  <c r="AD37" i="29"/>
  <c r="AH37" i="29"/>
  <c r="Z37" i="29"/>
  <c r="F37" i="29"/>
  <c r="AG37" i="29"/>
  <c r="Y37" i="29"/>
  <c r="E37" i="29"/>
  <c r="V37" i="29"/>
  <c r="AF37" i="29"/>
  <c r="X37" i="29"/>
  <c r="AM37" i="29"/>
  <c r="AE37" i="29"/>
  <c r="W37" i="29"/>
  <c r="G16" i="29"/>
  <c r="H13" i="29"/>
  <c r="E43" i="29"/>
  <c r="I12" i="29"/>
  <c r="E49" i="29"/>
  <c r="F58" i="28"/>
  <c r="D58" i="28"/>
  <c r="D48" i="28"/>
  <c r="D49" i="28" s="1"/>
  <c r="E31" i="26" l="1"/>
  <c r="E31" i="30"/>
  <c r="N31" i="26"/>
  <c r="M31" i="26"/>
  <c r="L31" i="26"/>
  <c r="K31" i="26"/>
  <c r="I14" i="29"/>
  <c r="H15" i="29"/>
  <c r="AL44" i="29"/>
  <c r="AD44" i="29"/>
  <c r="V44" i="29"/>
  <c r="AK44" i="29"/>
  <c r="AC44" i="29"/>
  <c r="I44" i="29"/>
  <c r="AJ44" i="29"/>
  <c r="AB44" i="29"/>
  <c r="H44" i="29"/>
  <c r="AI44" i="29"/>
  <c r="AA44" i="29"/>
  <c r="G44" i="29"/>
  <c r="AM44" i="29"/>
  <c r="AH44" i="29"/>
  <c r="Z44" i="29"/>
  <c r="E44" i="29"/>
  <c r="F40" i="29" s="1"/>
  <c r="F42" i="29" s="1"/>
  <c r="F43" i="29" s="1"/>
  <c r="AG44" i="29"/>
  <c r="Y44" i="29"/>
  <c r="F44" i="29"/>
  <c r="W44" i="29"/>
  <c r="AF44" i="29"/>
  <c r="X44" i="29"/>
  <c r="AE44" i="29"/>
  <c r="I13" i="29"/>
  <c r="H16" i="29"/>
  <c r="F33" i="29"/>
  <c r="J12" i="29"/>
  <c r="E56" i="29"/>
  <c r="E57" i="29" s="1"/>
  <c r="E50" i="29"/>
  <c r="C48" i="28"/>
  <c r="N48" i="28"/>
  <c r="M48" i="28"/>
  <c r="E48" i="28"/>
  <c r="E49" i="28" s="1"/>
  <c r="J48" i="28"/>
  <c r="I48" i="28"/>
  <c r="L48" i="28"/>
  <c r="H48" i="28"/>
  <c r="K48" i="28"/>
  <c r="G48" i="28"/>
  <c r="C58" i="28"/>
  <c r="F59" i="28" s="1"/>
  <c r="F48" i="28"/>
  <c r="F49" i="28" l="1"/>
  <c r="G49" i="28" s="1"/>
  <c r="H49" i="28" s="1"/>
  <c r="I49" i="28" s="1"/>
  <c r="J49" i="28" s="1"/>
  <c r="K49" i="28" s="1"/>
  <c r="L49" i="28" s="1"/>
  <c r="M49" i="28" s="1"/>
  <c r="N49" i="28" s="1"/>
  <c r="G40" i="29"/>
  <c r="J14" i="29"/>
  <c r="I15" i="29"/>
  <c r="AM51" i="29"/>
  <c r="AE51" i="29"/>
  <c r="W51" i="29"/>
  <c r="AF51" i="29"/>
  <c r="AL51" i="29"/>
  <c r="AD51" i="29"/>
  <c r="J51" i="29"/>
  <c r="AK51" i="29"/>
  <c r="AC51" i="29"/>
  <c r="I51" i="29"/>
  <c r="AJ51" i="29"/>
  <c r="AB51" i="29"/>
  <c r="G51" i="29"/>
  <c r="AI51" i="29"/>
  <c r="AA51" i="29"/>
  <c r="F51" i="29"/>
  <c r="X51" i="29"/>
  <c r="AH51" i="29"/>
  <c r="Z51" i="29"/>
  <c r="E51" i="29"/>
  <c r="AG51" i="29"/>
  <c r="Y51" i="29"/>
  <c r="H51" i="29"/>
  <c r="J13" i="29"/>
  <c r="I16" i="29"/>
  <c r="K12" i="29"/>
  <c r="E70" i="29" s="1"/>
  <c r="E71" i="29" s="1"/>
  <c r="E63" i="29"/>
  <c r="C59" i="28"/>
  <c r="K59" i="28"/>
  <c r="L59" i="28"/>
  <c r="J59" i="28"/>
  <c r="M59" i="28"/>
  <c r="G59" i="28"/>
  <c r="N59" i="28"/>
  <c r="H59" i="28"/>
  <c r="E59" i="28"/>
  <c r="I59" i="28"/>
  <c r="D59" i="28"/>
  <c r="K14" i="29" l="1"/>
  <c r="K15" i="29" s="1"/>
  <c r="J15" i="29"/>
  <c r="F47" i="29"/>
  <c r="F49" i="29" s="1"/>
  <c r="F50" i="29" s="1"/>
  <c r="G47" i="29" s="1"/>
  <c r="AF58" i="29"/>
  <c r="X58" i="29"/>
  <c r="AM58" i="29"/>
  <c r="AE58" i="29"/>
  <c r="K58" i="29"/>
  <c r="Y58" i="29"/>
  <c r="AL58" i="29"/>
  <c r="AD58" i="29"/>
  <c r="J58" i="29"/>
  <c r="I58" i="29"/>
  <c r="AK58" i="29"/>
  <c r="AC58" i="29"/>
  <c r="H58" i="29"/>
  <c r="AJ58" i="29"/>
  <c r="AB58" i="29"/>
  <c r="G58" i="29"/>
  <c r="AI58" i="29"/>
  <c r="AA58" i="29"/>
  <c r="F58" i="29"/>
  <c r="AG58" i="29"/>
  <c r="AH58" i="29"/>
  <c r="Z58" i="29"/>
  <c r="E58" i="29"/>
  <c r="F54" i="29" s="1"/>
  <c r="K13" i="29"/>
  <c r="K16" i="29" s="1"/>
  <c r="J16" i="29"/>
  <c r="E64" i="29"/>
  <c r="G49" i="29" l="1"/>
  <c r="G50" i="29" s="1"/>
  <c r="AG65" i="29"/>
  <c r="Y65" i="29"/>
  <c r="J65" i="29"/>
  <c r="AF65" i="29"/>
  <c r="L65" i="29"/>
  <c r="AM65" i="29"/>
  <c r="AE65" i="29"/>
  <c r="K65" i="29"/>
  <c r="AL65" i="29"/>
  <c r="AD65" i="29"/>
  <c r="I65" i="29"/>
  <c r="AH65" i="29"/>
  <c r="AK65" i="29"/>
  <c r="AC65" i="29"/>
  <c r="H65" i="29"/>
  <c r="E65" i="29"/>
  <c r="AJ65" i="29"/>
  <c r="AB65" i="29"/>
  <c r="G65" i="29"/>
  <c r="AI65" i="29"/>
  <c r="AA65" i="29"/>
  <c r="F65" i="29"/>
  <c r="Z65" i="29"/>
  <c r="AH72" i="29"/>
  <c r="Z72" i="29"/>
  <c r="E72" i="29"/>
  <c r="F68" i="29" s="1"/>
  <c r="F72" i="29"/>
  <c r="AG72" i="29"/>
  <c r="M72" i="29"/>
  <c r="K72" i="29"/>
  <c r="AI72" i="29"/>
  <c r="AF72" i="29"/>
  <c r="L72" i="29"/>
  <c r="AA72" i="29"/>
  <c r="AM72" i="29"/>
  <c r="AE72" i="29"/>
  <c r="J72" i="29"/>
  <c r="AL72" i="29"/>
  <c r="AD72" i="29"/>
  <c r="I72" i="29"/>
  <c r="AK72" i="29"/>
  <c r="AC72" i="29"/>
  <c r="H72" i="29"/>
  <c r="AJ72" i="29"/>
  <c r="AB72" i="29"/>
  <c r="G72" i="29"/>
  <c r="F56" i="29"/>
  <c r="F57" i="29" s="1"/>
  <c r="F23" i="29" l="1"/>
  <c r="F65" i="30" s="1"/>
  <c r="AG23" i="29"/>
  <c r="AG65" i="30" s="1"/>
  <c r="AC23" i="29"/>
  <c r="AC65" i="30" s="1"/>
  <c r="AM23" i="29"/>
  <c r="AM65" i="30" s="1"/>
  <c r="AA23" i="29"/>
  <c r="AA65" i="30" s="1"/>
  <c r="AH23" i="29"/>
  <c r="AH65" i="30" s="1"/>
  <c r="AK23" i="29"/>
  <c r="AK65" i="30" s="1"/>
  <c r="AF23" i="29"/>
  <c r="AF65" i="30" s="1"/>
  <c r="G23" i="29"/>
  <c r="G65" i="30" s="1"/>
  <c r="AB23" i="29"/>
  <c r="AB65" i="30" s="1"/>
  <c r="AD23" i="29"/>
  <c r="AD65" i="30" s="1"/>
  <c r="AJ23" i="29"/>
  <c r="AJ65" i="30" s="1"/>
  <c r="Z23" i="29"/>
  <c r="Z65" i="30" s="1"/>
  <c r="AE23" i="29"/>
  <c r="AE65" i="30" s="1"/>
  <c r="G54" i="29"/>
  <c r="F61" i="29"/>
  <c r="E23" i="29"/>
  <c r="E65" i="30" s="1"/>
  <c r="H47" i="29"/>
  <c r="AI23" i="29"/>
  <c r="AI65" i="30" s="1"/>
  <c r="F70" i="29"/>
  <c r="F71" i="29" s="1"/>
  <c r="AL23" i="29"/>
  <c r="AL65" i="30" s="1"/>
  <c r="G68" i="29" l="1"/>
  <c r="F63" i="29"/>
  <c r="F64" i="29" s="1"/>
  <c r="G56" i="29"/>
  <c r="G57" i="29" s="1"/>
  <c r="H54" i="29" s="1"/>
  <c r="D58" i="2"/>
  <c r="H56" i="29" l="1"/>
  <c r="H57" i="29" s="1"/>
  <c r="G61" i="29"/>
  <c r="G70" i="29"/>
  <c r="G71" i="29" s="1"/>
  <c r="I54" i="29" l="1"/>
  <c r="G63" i="29"/>
  <c r="G64" i="29" s="1"/>
  <c r="H61" i="29" s="1"/>
  <c r="H68" i="29"/>
  <c r="H70" i="29" s="1"/>
  <c r="H71" i="29" s="1"/>
  <c r="I68" i="29" s="1"/>
  <c r="H63" i="29" l="1"/>
  <c r="H64" i="29" s="1"/>
  <c r="I70" i="29"/>
  <c r="I71" i="29" s="1"/>
  <c r="J68" i="29" l="1"/>
  <c r="I61" i="29"/>
  <c r="I63" i="29" l="1"/>
  <c r="I64" i="29" s="1"/>
  <c r="J70" i="29"/>
  <c r="J71" i="29" s="1"/>
  <c r="K68" i="29" l="1"/>
  <c r="J61" i="29"/>
  <c r="AL89" i="20" l="1"/>
  <c r="AK89" i="20"/>
  <c r="AJ89" i="20"/>
  <c r="AI89" i="20"/>
  <c r="AH89" i="20"/>
  <c r="AG89" i="20"/>
  <c r="AF89" i="20"/>
  <c r="AE89" i="20"/>
  <c r="AD89" i="20"/>
  <c r="AC89" i="20"/>
  <c r="AB89" i="20"/>
  <c r="AA89" i="20"/>
  <c r="Z89" i="20"/>
  <c r="Y89" i="20"/>
  <c r="X89" i="20"/>
  <c r="W89" i="20"/>
  <c r="V89" i="20"/>
  <c r="U89" i="20"/>
  <c r="T89" i="20"/>
  <c r="S89" i="20"/>
  <c r="R89" i="20"/>
  <c r="Q89" i="20"/>
  <c r="P89" i="20"/>
  <c r="O89" i="20"/>
  <c r="N89" i="20"/>
  <c r="M89" i="20"/>
  <c r="L89" i="20"/>
  <c r="K89" i="20"/>
  <c r="J89" i="20"/>
  <c r="I89" i="20"/>
  <c r="H89" i="20"/>
  <c r="G89" i="20"/>
  <c r="F89" i="20"/>
  <c r="E89" i="20"/>
  <c r="AL88" i="20"/>
  <c r="AK88" i="20"/>
  <c r="AJ88" i="20"/>
  <c r="AI88" i="20"/>
  <c r="AH88" i="20"/>
  <c r="AG88" i="20"/>
  <c r="AF88" i="20"/>
  <c r="AE88" i="20"/>
  <c r="AD88" i="20"/>
  <c r="AC88" i="20"/>
  <c r="AB88" i="20"/>
  <c r="AA88" i="20"/>
  <c r="Z88" i="20"/>
  <c r="Y88" i="20"/>
  <c r="X88" i="20"/>
  <c r="W88" i="20"/>
  <c r="V88" i="20"/>
  <c r="U88" i="20"/>
  <c r="T88" i="20"/>
  <c r="S88" i="20"/>
  <c r="R88" i="20"/>
  <c r="Q88" i="20"/>
  <c r="P88" i="20"/>
  <c r="O88" i="20"/>
  <c r="N88" i="20"/>
  <c r="M88" i="20"/>
  <c r="L88" i="20"/>
  <c r="K88" i="20"/>
  <c r="J88" i="20"/>
  <c r="I88" i="20"/>
  <c r="H88" i="20"/>
  <c r="G88" i="20"/>
  <c r="F88" i="20"/>
  <c r="E88" i="20"/>
  <c r="AL87" i="20"/>
  <c r="AK87" i="20"/>
  <c r="AJ87" i="20"/>
  <c r="AI87" i="20"/>
  <c r="AH87" i="20"/>
  <c r="AG87" i="20"/>
  <c r="AF87" i="20"/>
  <c r="AE87" i="20"/>
  <c r="AD87" i="20"/>
  <c r="AC87" i="20"/>
  <c r="AB87" i="20"/>
  <c r="AA87" i="20"/>
  <c r="Z87" i="20"/>
  <c r="Y87" i="20"/>
  <c r="X87" i="20"/>
  <c r="W87" i="20"/>
  <c r="V87" i="20"/>
  <c r="U87" i="20"/>
  <c r="T87" i="20"/>
  <c r="S87" i="20"/>
  <c r="R87" i="20"/>
  <c r="Q87" i="20"/>
  <c r="P87" i="20"/>
  <c r="O87" i="20"/>
  <c r="N87" i="20"/>
  <c r="M87" i="20"/>
  <c r="L87" i="20"/>
  <c r="K87" i="20"/>
  <c r="J87" i="20"/>
  <c r="I87" i="20"/>
  <c r="H87" i="20"/>
  <c r="G87" i="20"/>
  <c r="F87" i="20"/>
  <c r="E87" i="20"/>
  <c r="AL86" i="20"/>
  <c r="AK86" i="20"/>
  <c r="AJ86" i="20"/>
  <c r="AI86" i="20"/>
  <c r="AH86" i="20"/>
  <c r="AG86" i="20"/>
  <c r="AF86" i="20"/>
  <c r="AE86" i="20"/>
  <c r="AD86" i="20"/>
  <c r="AC86" i="20"/>
  <c r="AB86" i="20"/>
  <c r="AA86" i="20"/>
  <c r="Z86" i="20"/>
  <c r="Y86" i="20"/>
  <c r="X86" i="20"/>
  <c r="W86" i="20"/>
  <c r="V86" i="20"/>
  <c r="U86" i="20"/>
  <c r="T86" i="20"/>
  <c r="S86" i="20"/>
  <c r="R86" i="20"/>
  <c r="Q86" i="20"/>
  <c r="P86" i="20"/>
  <c r="O86" i="20"/>
  <c r="N86" i="20"/>
  <c r="M86" i="20"/>
  <c r="L86" i="20"/>
  <c r="K86" i="20"/>
  <c r="J86" i="20"/>
  <c r="I86" i="20"/>
  <c r="H86" i="20"/>
  <c r="G86" i="20"/>
  <c r="F86" i="20"/>
  <c r="E86" i="20"/>
  <c r="AL85" i="20"/>
  <c r="AK85" i="20"/>
  <c r="AJ85" i="20"/>
  <c r="AI85" i="20"/>
  <c r="AH85" i="20"/>
  <c r="AG85" i="20"/>
  <c r="AF85" i="20"/>
  <c r="AE85" i="20"/>
  <c r="AD85" i="20"/>
  <c r="AC85" i="20"/>
  <c r="AB85" i="20"/>
  <c r="AA85" i="20"/>
  <c r="Z85" i="20"/>
  <c r="Y85" i="20"/>
  <c r="X85" i="20"/>
  <c r="W85" i="20"/>
  <c r="V85" i="20"/>
  <c r="U85" i="20"/>
  <c r="T85" i="20"/>
  <c r="S85" i="20"/>
  <c r="R85" i="20"/>
  <c r="Q85" i="20"/>
  <c r="P85" i="20"/>
  <c r="O85" i="20"/>
  <c r="N85" i="20"/>
  <c r="M85" i="20"/>
  <c r="L85" i="20"/>
  <c r="K85" i="20"/>
  <c r="J85" i="20"/>
  <c r="I85" i="20"/>
  <c r="H85" i="20"/>
  <c r="G85" i="20"/>
  <c r="F85" i="20"/>
  <c r="E85" i="20"/>
  <c r="AL84" i="20"/>
  <c r="AK84" i="20"/>
  <c r="AJ84" i="20"/>
  <c r="AI84" i="20"/>
  <c r="AH84" i="20"/>
  <c r="AG84" i="20"/>
  <c r="AF84" i="20"/>
  <c r="AE84" i="20"/>
  <c r="AD84" i="20"/>
  <c r="AC84" i="20"/>
  <c r="AB84" i="20"/>
  <c r="AA84" i="20"/>
  <c r="Z84" i="20"/>
  <c r="Y84" i="20"/>
  <c r="X84" i="20"/>
  <c r="W84" i="20"/>
  <c r="V84" i="20"/>
  <c r="U84" i="20"/>
  <c r="T84" i="20"/>
  <c r="S84" i="20"/>
  <c r="R84" i="20"/>
  <c r="Q84" i="20"/>
  <c r="P84" i="20"/>
  <c r="O84" i="20"/>
  <c r="N84" i="20"/>
  <c r="M84" i="20"/>
  <c r="L84" i="20"/>
  <c r="K84" i="20"/>
  <c r="J84" i="20"/>
  <c r="I84" i="20"/>
  <c r="H84" i="20"/>
  <c r="G84" i="20"/>
  <c r="F84" i="20"/>
  <c r="E84" i="20"/>
  <c r="AL83" i="20"/>
  <c r="AK83" i="20"/>
  <c r="AJ83" i="20"/>
  <c r="AI83" i="20"/>
  <c r="AH83" i="20"/>
  <c r="AG83" i="20"/>
  <c r="AF83" i="20"/>
  <c r="AE83" i="20"/>
  <c r="AD83" i="20"/>
  <c r="AC83" i="20"/>
  <c r="AB83" i="20"/>
  <c r="AA83" i="20"/>
  <c r="Z83" i="20"/>
  <c r="Y83" i="20"/>
  <c r="X83" i="20"/>
  <c r="W83" i="20"/>
  <c r="V83" i="20"/>
  <c r="U83" i="20"/>
  <c r="T83" i="20"/>
  <c r="S83" i="20"/>
  <c r="R83" i="20"/>
  <c r="Q83" i="20"/>
  <c r="P83" i="20"/>
  <c r="O83" i="20"/>
  <c r="N83" i="20"/>
  <c r="M83" i="20"/>
  <c r="L83" i="20"/>
  <c r="K83" i="20"/>
  <c r="J83" i="20"/>
  <c r="I83" i="20"/>
  <c r="H83" i="20"/>
  <c r="G83" i="20"/>
  <c r="F83" i="20"/>
  <c r="E83" i="20"/>
  <c r="AL82" i="20"/>
  <c r="AK82" i="20"/>
  <c r="AJ82" i="20"/>
  <c r="AI82" i="20"/>
  <c r="AH82" i="20"/>
  <c r="AG82" i="20"/>
  <c r="AF82" i="20"/>
  <c r="AE82" i="20"/>
  <c r="AD82" i="20"/>
  <c r="AC82" i="20"/>
  <c r="AB82" i="20"/>
  <c r="AA82" i="20"/>
  <c r="Z82" i="20"/>
  <c r="Y82" i="20"/>
  <c r="X82" i="20"/>
  <c r="W82" i="20"/>
  <c r="V82" i="20"/>
  <c r="U82" i="20"/>
  <c r="T82" i="20"/>
  <c r="S82" i="20"/>
  <c r="R82" i="20"/>
  <c r="Q82" i="20"/>
  <c r="P82" i="20"/>
  <c r="O82" i="20"/>
  <c r="N82" i="20"/>
  <c r="M82" i="20"/>
  <c r="L82" i="20"/>
  <c r="K82" i="20"/>
  <c r="J82" i="20"/>
  <c r="I82" i="20"/>
  <c r="H82" i="20"/>
  <c r="G82" i="20"/>
  <c r="F82" i="20"/>
  <c r="E82" i="20"/>
  <c r="AL81" i="20"/>
  <c r="AK81" i="20"/>
  <c r="AJ81" i="20"/>
  <c r="AI81" i="20"/>
  <c r="AH81" i="20"/>
  <c r="AG81" i="20"/>
  <c r="AF81" i="20"/>
  <c r="AE81" i="20"/>
  <c r="AD81" i="20"/>
  <c r="AC81" i="20"/>
  <c r="AB81" i="20"/>
  <c r="AA81" i="20"/>
  <c r="Z81" i="20"/>
  <c r="Y81" i="20"/>
  <c r="X81" i="20"/>
  <c r="W81" i="20"/>
  <c r="V81" i="20"/>
  <c r="U81" i="20"/>
  <c r="T81" i="20"/>
  <c r="S81" i="20"/>
  <c r="R81" i="20"/>
  <c r="Q81" i="20"/>
  <c r="P81" i="20"/>
  <c r="O81" i="20"/>
  <c r="N81" i="20"/>
  <c r="M81" i="20"/>
  <c r="L81" i="20"/>
  <c r="K81" i="20"/>
  <c r="J81" i="20"/>
  <c r="I81" i="20"/>
  <c r="H81" i="20"/>
  <c r="G81" i="20"/>
  <c r="F81" i="20"/>
  <c r="E81" i="20"/>
  <c r="AL80" i="20"/>
  <c r="AK80" i="20"/>
  <c r="AJ80" i="20"/>
  <c r="AI80" i="20"/>
  <c r="AH80" i="20"/>
  <c r="AG80" i="20"/>
  <c r="AF80" i="20"/>
  <c r="AE80" i="20"/>
  <c r="AD80" i="20"/>
  <c r="AC80" i="20"/>
  <c r="AB80" i="20"/>
  <c r="AA80" i="20"/>
  <c r="Z80" i="20"/>
  <c r="Y80" i="20"/>
  <c r="X80" i="20"/>
  <c r="W80" i="20"/>
  <c r="V80" i="20"/>
  <c r="U80" i="20"/>
  <c r="T80" i="20"/>
  <c r="S80" i="20"/>
  <c r="R80" i="20"/>
  <c r="Q80" i="20"/>
  <c r="P80" i="20"/>
  <c r="O80" i="20"/>
  <c r="N80" i="20"/>
  <c r="M80" i="20"/>
  <c r="L80" i="20"/>
  <c r="K80" i="20"/>
  <c r="J80" i="20"/>
  <c r="I80" i="20"/>
  <c r="H80" i="20"/>
  <c r="G80" i="20"/>
  <c r="F80" i="20"/>
  <c r="E80" i="20"/>
  <c r="AL79" i="20"/>
  <c r="AK79" i="20"/>
  <c r="AJ79" i="20"/>
  <c r="AI79" i="20"/>
  <c r="AH79" i="20"/>
  <c r="AG79" i="20"/>
  <c r="AF79" i="20"/>
  <c r="AE79" i="20"/>
  <c r="AD79" i="20"/>
  <c r="AC79" i="20"/>
  <c r="AB79" i="20"/>
  <c r="AA79" i="20"/>
  <c r="Z79" i="20"/>
  <c r="Y79" i="20"/>
  <c r="X79" i="20"/>
  <c r="W79" i="20"/>
  <c r="V79" i="20"/>
  <c r="U79" i="20"/>
  <c r="T79" i="20"/>
  <c r="S79" i="20"/>
  <c r="R79" i="20"/>
  <c r="Q79" i="20"/>
  <c r="P79" i="20"/>
  <c r="O79" i="20"/>
  <c r="N79" i="20"/>
  <c r="M79" i="20"/>
  <c r="L79" i="20"/>
  <c r="K79" i="20"/>
  <c r="J79" i="20"/>
  <c r="I79" i="20"/>
  <c r="H79" i="20"/>
  <c r="G79" i="20"/>
  <c r="F79" i="20"/>
  <c r="E79" i="20"/>
  <c r="AL78" i="20"/>
  <c r="AK78" i="20"/>
  <c r="AJ78" i="20"/>
  <c r="AI78" i="20"/>
  <c r="AH78" i="20"/>
  <c r="AG78" i="20"/>
  <c r="AF78" i="20"/>
  <c r="AE78" i="20"/>
  <c r="AD78" i="20"/>
  <c r="AC78" i="20"/>
  <c r="AB78" i="20"/>
  <c r="AA78" i="20"/>
  <c r="Z78" i="20"/>
  <c r="Y78" i="20"/>
  <c r="X78" i="20"/>
  <c r="W78" i="20"/>
  <c r="V78" i="20"/>
  <c r="U78" i="20"/>
  <c r="T78" i="20"/>
  <c r="S78" i="20"/>
  <c r="R78" i="20"/>
  <c r="Q78" i="20"/>
  <c r="P78" i="20"/>
  <c r="O78" i="20"/>
  <c r="N78" i="20"/>
  <c r="M78" i="20"/>
  <c r="L78" i="20"/>
  <c r="K78" i="20"/>
  <c r="J78" i="20"/>
  <c r="I78" i="20"/>
  <c r="H78" i="20"/>
  <c r="G78" i="20"/>
  <c r="F78" i="20"/>
  <c r="E78" i="20"/>
  <c r="AL77" i="20"/>
  <c r="AK77" i="20"/>
  <c r="AJ77" i="20"/>
  <c r="AI77" i="20"/>
  <c r="AH77" i="20"/>
  <c r="AG77" i="20"/>
  <c r="AF77" i="20"/>
  <c r="AE77" i="20"/>
  <c r="AD77" i="20"/>
  <c r="AC77" i="20"/>
  <c r="AB77" i="20"/>
  <c r="AA77" i="20"/>
  <c r="Z77" i="20"/>
  <c r="Y77" i="20"/>
  <c r="X77" i="20"/>
  <c r="W77" i="20"/>
  <c r="V77" i="20"/>
  <c r="U77" i="20"/>
  <c r="T77" i="20"/>
  <c r="S77" i="20"/>
  <c r="R77" i="20"/>
  <c r="Q77" i="20"/>
  <c r="P77" i="20"/>
  <c r="O77" i="20"/>
  <c r="N77" i="20"/>
  <c r="M77" i="20"/>
  <c r="L77" i="20"/>
  <c r="K77" i="20"/>
  <c r="J77" i="20"/>
  <c r="I77" i="20"/>
  <c r="H77" i="20"/>
  <c r="G77" i="20"/>
  <c r="F77" i="20"/>
  <c r="E77" i="20"/>
  <c r="AL76" i="20"/>
  <c r="AK76" i="20"/>
  <c r="AJ76" i="20"/>
  <c r="AI76" i="20"/>
  <c r="AH76" i="20"/>
  <c r="AG76" i="20"/>
  <c r="AF76" i="20"/>
  <c r="AE76" i="20"/>
  <c r="AD76" i="20"/>
  <c r="AC76" i="20"/>
  <c r="AB76" i="20"/>
  <c r="AA76" i="20"/>
  <c r="Z76" i="20"/>
  <c r="Y76" i="20"/>
  <c r="X76" i="20"/>
  <c r="W76" i="20"/>
  <c r="V76" i="20"/>
  <c r="U76" i="20"/>
  <c r="T76" i="20"/>
  <c r="S76" i="20"/>
  <c r="R76" i="20"/>
  <c r="Q76" i="20"/>
  <c r="P76" i="20"/>
  <c r="O76" i="20"/>
  <c r="N76" i="20"/>
  <c r="M76" i="20"/>
  <c r="L76" i="20"/>
  <c r="K76" i="20"/>
  <c r="J76" i="20"/>
  <c r="I76" i="20"/>
  <c r="H76" i="20"/>
  <c r="G76" i="20"/>
  <c r="F76" i="20"/>
  <c r="E76" i="20"/>
  <c r="AL75" i="20"/>
  <c r="AK75" i="20"/>
  <c r="AJ75" i="20"/>
  <c r="AI75" i="20"/>
  <c r="AH75" i="20"/>
  <c r="AG75" i="20"/>
  <c r="AF75" i="20"/>
  <c r="AE75" i="20"/>
  <c r="AD75" i="20"/>
  <c r="AC75" i="20"/>
  <c r="AB75" i="20"/>
  <c r="AA75" i="20"/>
  <c r="Z75" i="20"/>
  <c r="Y75" i="20"/>
  <c r="X75" i="20"/>
  <c r="W75" i="20"/>
  <c r="V75" i="20"/>
  <c r="U75" i="20"/>
  <c r="T75" i="20"/>
  <c r="S75" i="20"/>
  <c r="R75" i="20"/>
  <c r="Q75" i="20"/>
  <c r="P75" i="20"/>
  <c r="O75" i="20"/>
  <c r="N75" i="20"/>
  <c r="M75" i="20"/>
  <c r="L75" i="20"/>
  <c r="K75" i="20"/>
  <c r="J75" i="20"/>
  <c r="I75" i="20"/>
  <c r="H75" i="20"/>
  <c r="G75" i="20"/>
  <c r="F75" i="20"/>
  <c r="E75" i="20"/>
  <c r="AL74" i="20"/>
  <c r="AK74" i="20"/>
  <c r="AJ74" i="20"/>
  <c r="AI74" i="20"/>
  <c r="AH74" i="20"/>
  <c r="AG74" i="20"/>
  <c r="AF74" i="20"/>
  <c r="AE74" i="20"/>
  <c r="AD74" i="20"/>
  <c r="AC74" i="20"/>
  <c r="AB74" i="20"/>
  <c r="AA74" i="20"/>
  <c r="Z74" i="20"/>
  <c r="Y74" i="20"/>
  <c r="X74" i="20"/>
  <c r="W74" i="20"/>
  <c r="V74" i="20"/>
  <c r="U74" i="20"/>
  <c r="T74" i="20"/>
  <c r="S74" i="20"/>
  <c r="R74" i="20"/>
  <c r="Q74" i="20"/>
  <c r="P74" i="20"/>
  <c r="O74" i="20"/>
  <c r="N74" i="20"/>
  <c r="M74" i="20"/>
  <c r="L74" i="20"/>
  <c r="K74" i="20"/>
  <c r="J74" i="20"/>
  <c r="I74" i="20"/>
  <c r="H74" i="20"/>
  <c r="G74" i="20"/>
  <c r="F74" i="20"/>
  <c r="E74" i="20"/>
  <c r="AL73" i="20"/>
  <c r="AK73" i="20"/>
  <c r="AJ73" i="20"/>
  <c r="AI73" i="20"/>
  <c r="AH73" i="20"/>
  <c r="AG73" i="20"/>
  <c r="AF73" i="20"/>
  <c r="AE73" i="20"/>
  <c r="AD73" i="20"/>
  <c r="AC73" i="20"/>
  <c r="AB73" i="20"/>
  <c r="AA73" i="20"/>
  <c r="Z73" i="20"/>
  <c r="Y73" i="20"/>
  <c r="X73" i="20"/>
  <c r="W73" i="20"/>
  <c r="V73" i="20"/>
  <c r="U73" i="20"/>
  <c r="T73" i="20"/>
  <c r="S73" i="20"/>
  <c r="R73" i="20"/>
  <c r="Q73" i="20"/>
  <c r="P73" i="20"/>
  <c r="O73" i="20"/>
  <c r="N73" i="20"/>
  <c r="M73" i="20"/>
  <c r="L73" i="20"/>
  <c r="K73" i="20"/>
  <c r="J73" i="20"/>
  <c r="I73" i="20"/>
  <c r="H73" i="20"/>
  <c r="G73" i="20"/>
  <c r="F73" i="20"/>
  <c r="E73" i="20"/>
  <c r="AL72" i="20"/>
  <c r="AK72" i="20"/>
  <c r="AJ72" i="20"/>
  <c r="AI72" i="20"/>
  <c r="AH72" i="20"/>
  <c r="AG72" i="20"/>
  <c r="AF72" i="20"/>
  <c r="AE72" i="20"/>
  <c r="AD72" i="20"/>
  <c r="AC72" i="20"/>
  <c r="AB72" i="20"/>
  <c r="AA72" i="20"/>
  <c r="Z72" i="20"/>
  <c r="Y72" i="20"/>
  <c r="X72" i="20"/>
  <c r="W72" i="20"/>
  <c r="V72" i="20"/>
  <c r="U72" i="20"/>
  <c r="T72" i="20"/>
  <c r="S72" i="20"/>
  <c r="R72" i="20"/>
  <c r="Q72" i="20"/>
  <c r="P72" i="20"/>
  <c r="O72" i="20"/>
  <c r="N72" i="20"/>
  <c r="M72" i="20"/>
  <c r="L72" i="20"/>
  <c r="K72" i="20"/>
  <c r="J72" i="20"/>
  <c r="I72" i="20"/>
  <c r="H72" i="20"/>
  <c r="G72" i="20"/>
  <c r="F72" i="20"/>
  <c r="E72" i="20"/>
  <c r="AL71" i="20"/>
  <c r="AK71" i="20"/>
  <c r="AJ71" i="20"/>
  <c r="AI71" i="20"/>
  <c r="AH71" i="20"/>
  <c r="AG71" i="20"/>
  <c r="AF71" i="20"/>
  <c r="AE71" i="20"/>
  <c r="AD71" i="20"/>
  <c r="AC71" i="20"/>
  <c r="AB71" i="20"/>
  <c r="AA71" i="20"/>
  <c r="Z71" i="20"/>
  <c r="Y71" i="20"/>
  <c r="X71" i="20"/>
  <c r="W71" i="20"/>
  <c r="V71" i="20"/>
  <c r="U71" i="20"/>
  <c r="T71" i="20"/>
  <c r="S71" i="20"/>
  <c r="R71" i="20"/>
  <c r="Q71" i="20"/>
  <c r="P71" i="20"/>
  <c r="O71" i="20"/>
  <c r="N71" i="20"/>
  <c r="M71" i="20"/>
  <c r="L71" i="20"/>
  <c r="K71" i="20"/>
  <c r="J71" i="20"/>
  <c r="I71" i="20"/>
  <c r="H71" i="20"/>
  <c r="G71" i="20"/>
  <c r="F71" i="20"/>
  <c r="E71" i="20"/>
  <c r="AL70" i="20"/>
  <c r="AK70" i="20"/>
  <c r="AJ70" i="20"/>
  <c r="AI70" i="20"/>
  <c r="AH70" i="20"/>
  <c r="AG70" i="20"/>
  <c r="AF70" i="20"/>
  <c r="AE70" i="20"/>
  <c r="AD70" i="20"/>
  <c r="AC70" i="20"/>
  <c r="AB70" i="20"/>
  <c r="AA70" i="20"/>
  <c r="Z70" i="20"/>
  <c r="Y70" i="20"/>
  <c r="X70" i="20"/>
  <c r="W70" i="20"/>
  <c r="V70" i="20"/>
  <c r="U70" i="20"/>
  <c r="T70" i="20"/>
  <c r="S70" i="20"/>
  <c r="R70" i="20"/>
  <c r="Q70" i="20"/>
  <c r="P70" i="20"/>
  <c r="O70" i="20"/>
  <c r="N70" i="20"/>
  <c r="M70" i="20"/>
  <c r="L70" i="20"/>
  <c r="K70" i="20"/>
  <c r="J70" i="20"/>
  <c r="I70" i="20"/>
  <c r="H70" i="20"/>
  <c r="G70" i="20"/>
  <c r="F70" i="20"/>
  <c r="E70" i="20"/>
  <c r="AL69" i="20"/>
  <c r="AK69" i="20"/>
  <c r="AJ69" i="20"/>
  <c r="AI69" i="20"/>
  <c r="AH69" i="20"/>
  <c r="AG69" i="20"/>
  <c r="AF69" i="20"/>
  <c r="AE69" i="20"/>
  <c r="AD69" i="20"/>
  <c r="AC69" i="20"/>
  <c r="AB69" i="20"/>
  <c r="AA69" i="20"/>
  <c r="Z69" i="20"/>
  <c r="Y69" i="20"/>
  <c r="X69" i="20"/>
  <c r="W69" i="20"/>
  <c r="V69" i="20"/>
  <c r="U69" i="20"/>
  <c r="T69" i="20"/>
  <c r="S69" i="20"/>
  <c r="R69" i="20"/>
  <c r="Q69" i="20"/>
  <c r="P69" i="20"/>
  <c r="O69" i="20"/>
  <c r="N69" i="20"/>
  <c r="M69" i="20"/>
  <c r="L69" i="20"/>
  <c r="K69" i="20"/>
  <c r="J69" i="20"/>
  <c r="I69" i="20"/>
  <c r="H69" i="20"/>
  <c r="G69" i="20"/>
  <c r="F69" i="20"/>
  <c r="E69" i="20"/>
  <c r="AL68" i="20"/>
  <c r="AK68" i="20"/>
  <c r="AJ68" i="20"/>
  <c r="AI68" i="20"/>
  <c r="AH68" i="20"/>
  <c r="AG68" i="20"/>
  <c r="AF68" i="20"/>
  <c r="AE68" i="20"/>
  <c r="AD68" i="20"/>
  <c r="AC68" i="20"/>
  <c r="AB68" i="20"/>
  <c r="AA68" i="20"/>
  <c r="Z68" i="20"/>
  <c r="Y68" i="20"/>
  <c r="X68" i="20"/>
  <c r="W68" i="20"/>
  <c r="V68" i="20"/>
  <c r="U68" i="20"/>
  <c r="T68" i="20"/>
  <c r="S68" i="20"/>
  <c r="R68" i="20"/>
  <c r="Q68" i="20"/>
  <c r="P68" i="20"/>
  <c r="O68" i="20"/>
  <c r="N68" i="20"/>
  <c r="M68" i="20"/>
  <c r="L68" i="20"/>
  <c r="K68" i="20"/>
  <c r="J68" i="20"/>
  <c r="I68" i="20"/>
  <c r="H68" i="20"/>
  <c r="G68" i="20"/>
  <c r="F68" i="20"/>
  <c r="E68" i="20"/>
  <c r="AL67" i="20"/>
  <c r="AK67" i="20"/>
  <c r="AJ67" i="20"/>
  <c r="AI67" i="20"/>
  <c r="AH67" i="20"/>
  <c r="AG67" i="20"/>
  <c r="AF67" i="20"/>
  <c r="AE67" i="20"/>
  <c r="AD67" i="20"/>
  <c r="AC67" i="20"/>
  <c r="AB67" i="20"/>
  <c r="AA67" i="20"/>
  <c r="Z67" i="20"/>
  <c r="Y67" i="20"/>
  <c r="X67" i="20"/>
  <c r="W67" i="20"/>
  <c r="V67" i="20"/>
  <c r="U67" i="20"/>
  <c r="T67" i="20"/>
  <c r="S67" i="20"/>
  <c r="R67" i="20"/>
  <c r="Q67" i="20"/>
  <c r="P67" i="20"/>
  <c r="O67" i="20"/>
  <c r="N67" i="20"/>
  <c r="M67" i="20"/>
  <c r="L67" i="20"/>
  <c r="K67" i="20"/>
  <c r="J67" i="20"/>
  <c r="I67" i="20"/>
  <c r="H67" i="20"/>
  <c r="G67" i="20"/>
  <c r="F67" i="20"/>
  <c r="E67" i="20"/>
  <c r="AL66" i="20"/>
  <c r="AK66" i="20"/>
  <c r="AJ66" i="20"/>
  <c r="AI66" i="20"/>
  <c r="AH66" i="20"/>
  <c r="AG66" i="20"/>
  <c r="AF66" i="20"/>
  <c r="AE66" i="20"/>
  <c r="AD66" i="20"/>
  <c r="AC66" i="20"/>
  <c r="AB66" i="20"/>
  <c r="AA66" i="20"/>
  <c r="Z66" i="20"/>
  <c r="Y66" i="20"/>
  <c r="X66" i="20"/>
  <c r="W66" i="20"/>
  <c r="V66" i="20"/>
  <c r="U66" i="20"/>
  <c r="T66" i="20"/>
  <c r="S66" i="20"/>
  <c r="R66" i="20"/>
  <c r="Q66" i="20"/>
  <c r="P66" i="20"/>
  <c r="O66" i="20"/>
  <c r="N66" i="20"/>
  <c r="M66" i="20"/>
  <c r="L66" i="20"/>
  <c r="K66" i="20"/>
  <c r="J66" i="20"/>
  <c r="I66" i="20"/>
  <c r="H66" i="20"/>
  <c r="G66" i="20"/>
  <c r="F66" i="20"/>
  <c r="E66" i="20"/>
  <c r="AL65" i="20"/>
  <c r="AK65" i="20"/>
  <c r="AJ65" i="20"/>
  <c r="AI65" i="20"/>
  <c r="AH65" i="20"/>
  <c r="AG65" i="20"/>
  <c r="AF65" i="20"/>
  <c r="AE65" i="20"/>
  <c r="AD65" i="20"/>
  <c r="N65" i="20"/>
  <c r="M65" i="20"/>
  <c r="L65" i="20"/>
  <c r="K65" i="20"/>
  <c r="J65" i="20"/>
  <c r="I65" i="20"/>
  <c r="H65" i="20"/>
  <c r="G65" i="20"/>
  <c r="F65" i="20"/>
  <c r="E65" i="20"/>
  <c r="AL64" i="20"/>
  <c r="AK64" i="20"/>
  <c r="AJ64" i="20"/>
  <c r="AI64" i="20"/>
  <c r="AH64" i="20"/>
  <c r="AG64" i="20"/>
  <c r="AF64" i="20"/>
  <c r="AE64" i="20"/>
  <c r="AD64" i="20"/>
  <c r="AC64" i="20"/>
  <c r="M64" i="20"/>
  <c r="L64" i="20"/>
  <c r="K64" i="20"/>
  <c r="J64" i="20"/>
  <c r="I64" i="20"/>
  <c r="H64" i="20"/>
  <c r="G64" i="20"/>
  <c r="F64" i="20"/>
  <c r="E64" i="20"/>
  <c r="AL63" i="20"/>
  <c r="AK63" i="20"/>
  <c r="AJ63" i="20"/>
  <c r="AI63" i="20"/>
  <c r="AH63" i="20"/>
  <c r="AG63" i="20"/>
  <c r="AF63" i="20"/>
  <c r="AE63" i="20"/>
  <c r="AD63" i="20"/>
  <c r="AC63" i="20"/>
  <c r="AB63" i="20"/>
  <c r="L63" i="20"/>
  <c r="K63" i="20"/>
  <c r="J63" i="20"/>
  <c r="I63" i="20"/>
  <c r="H63" i="20"/>
  <c r="G63" i="20"/>
  <c r="F63" i="20"/>
  <c r="E63" i="20"/>
  <c r="AL62" i="20"/>
  <c r="AK62" i="20"/>
  <c r="AJ62" i="20"/>
  <c r="AI62" i="20"/>
  <c r="AH62" i="20"/>
  <c r="AG62" i="20"/>
  <c r="AF62" i="20"/>
  <c r="AE62" i="20"/>
  <c r="AD62" i="20"/>
  <c r="AC62" i="20"/>
  <c r="AB62" i="20"/>
  <c r="AA62" i="20"/>
  <c r="K62" i="20"/>
  <c r="J62" i="20"/>
  <c r="I62" i="20"/>
  <c r="H62" i="20"/>
  <c r="G62" i="20"/>
  <c r="F62" i="20"/>
  <c r="E62" i="20"/>
  <c r="AL61" i="20"/>
  <c r="AK61" i="20"/>
  <c r="AJ61" i="20"/>
  <c r="AI61" i="20"/>
  <c r="AH61" i="20"/>
  <c r="AG61" i="20"/>
  <c r="AF61" i="20"/>
  <c r="AE61" i="20"/>
  <c r="AD61" i="20"/>
  <c r="AC61" i="20"/>
  <c r="AB61" i="20"/>
  <c r="AA61" i="20"/>
  <c r="Z61" i="20"/>
  <c r="J61" i="20"/>
  <c r="I61" i="20"/>
  <c r="H61" i="20"/>
  <c r="G61" i="20"/>
  <c r="F61" i="20"/>
  <c r="E61" i="20"/>
  <c r="AL60" i="20"/>
  <c r="AK60" i="20"/>
  <c r="AJ60" i="20"/>
  <c r="AI60" i="20"/>
  <c r="AH60" i="20"/>
  <c r="AG60" i="20"/>
  <c r="AF60" i="20"/>
  <c r="AE60" i="20"/>
  <c r="AD60" i="20"/>
  <c r="AC60" i="20"/>
  <c r="AB60" i="20"/>
  <c r="AA60" i="20"/>
  <c r="Z60" i="20"/>
  <c r="Y60" i="20"/>
  <c r="I60" i="20"/>
  <c r="H60" i="20"/>
  <c r="G60" i="20"/>
  <c r="F60" i="20"/>
  <c r="E60" i="20"/>
  <c r="AL59" i="20"/>
  <c r="AK59" i="20"/>
  <c r="AJ59" i="20"/>
  <c r="AI59" i="20"/>
  <c r="AH59" i="20"/>
  <c r="AG59" i="20"/>
  <c r="AF59" i="20"/>
  <c r="AE59" i="20"/>
  <c r="AD59" i="20"/>
  <c r="AC59" i="20"/>
  <c r="AB59" i="20"/>
  <c r="AA59" i="20"/>
  <c r="Z59" i="20"/>
  <c r="Y59" i="20"/>
  <c r="X59" i="20"/>
  <c r="H59" i="20"/>
  <c r="G59" i="20"/>
  <c r="F59" i="20"/>
  <c r="E59" i="20"/>
  <c r="AL58" i="20"/>
  <c r="AK58" i="20"/>
  <c r="AJ58" i="20"/>
  <c r="AI58" i="20"/>
  <c r="AH58" i="20"/>
  <c r="AG58" i="20"/>
  <c r="AF58" i="20"/>
  <c r="AE58" i="20"/>
  <c r="AD58" i="20"/>
  <c r="AC58" i="20"/>
  <c r="AB58" i="20"/>
  <c r="AA58" i="20"/>
  <c r="Z58" i="20"/>
  <c r="Y58" i="20"/>
  <c r="X58" i="20"/>
  <c r="W58" i="20"/>
  <c r="G58" i="20"/>
  <c r="F58" i="20"/>
  <c r="E58" i="20"/>
  <c r="AL57" i="20"/>
  <c r="AK57" i="20"/>
  <c r="AJ57" i="20"/>
  <c r="AI57" i="20"/>
  <c r="AH57" i="20"/>
  <c r="AG57" i="20"/>
  <c r="AF57" i="20"/>
  <c r="AE57" i="20"/>
  <c r="AD57" i="20"/>
  <c r="AC57" i="20"/>
  <c r="AB57" i="20"/>
  <c r="AA57" i="20"/>
  <c r="Z57" i="20"/>
  <c r="Y57" i="20"/>
  <c r="X57" i="20"/>
  <c r="W57" i="20"/>
  <c r="V57" i="20"/>
  <c r="F57" i="20"/>
  <c r="E57" i="20"/>
  <c r="AL56" i="20"/>
  <c r="AK56" i="20"/>
  <c r="AJ56" i="20"/>
  <c r="AI56" i="20"/>
  <c r="AH56" i="20"/>
  <c r="AG56" i="20"/>
  <c r="AF56" i="20"/>
  <c r="AE56" i="20"/>
  <c r="AD56" i="20"/>
  <c r="AC56" i="20"/>
  <c r="AB56" i="20"/>
  <c r="AA56" i="20"/>
  <c r="Z56" i="20"/>
  <c r="Y56" i="20"/>
  <c r="X56" i="20"/>
  <c r="W56" i="20"/>
  <c r="V56" i="20"/>
  <c r="U56" i="20"/>
  <c r="E56" i="20"/>
  <c r="AL55" i="20"/>
  <c r="AK55" i="20"/>
  <c r="AJ55" i="20"/>
  <c r="AI55" i="20"/>
  <c r="AH55" i="20"/>
  <c r="AG55" i="20"/>
  <c r="AF55" i="20"/>
  <c r="AE55" i="20"/>
  <c r="AD55" i="20"/>
  <c r="AC55" i="20"/>
  <c r="AB55" i="20"/>
  <c r="AA55" i="20"/>
  <c r="Z55" i="20"/>
  <c r="Y55" i="20"/>
  <c r="X55" i="20"/>
  <c r="W55" i="20"/>
  <c r="V55" i="20"/>
  <c r="U55" i="20"/>
  <c r="T55" i="20"/>
  <c r="D89" i="20"/>
  <c r="D88" i="20"/>
  <c r="D87" i="20"/>
  <c r="D86" i="20"/>
  <c r="D85" i="20"/>
  <c r="D84" i="20"/>
  <c r="D83" i="20"/>
  <c r="D82" i="20"/>
  <c r="D81" i="20"/>
  <c r="D80" i="20"/>
  <c r="D79" i="20"/>
  <c r="D78" i="20"/>
  <c r="D77" i="20"/>
  <c r="D76" i="20"/>
  <c r="D75" i="20"/>
  <c r="D74" i="20"/>
  <c r="D73" i="20"/>
  <c r="D72" i="20"/>
  <c r="D71" i="20"/>
  <c r="D70" i="20"/>
  <c r="D69" i="20"/>
  <c r="D68" i="20"/>
  <c r="D67" i="20"/>
  <c r="D66" i="20"/>
  <c r="D65" i="20"/>
  <c r="D64" i="20"/>
  <c r="D63" i="20"/>
  <c r="D62" i="20"/>
  <c r="D61" i="20"/>
  <c r="D60" i="20"/>
  <c r="D59" i="20"/>
  <c r="D58" i="20"/>
  <c r="D57" i="20"/>
  <c r="D56" i="20"/>
  <c r="D55" i="20"/>
  <c r="A89" i="20"/>
  <c r="A88" i="20"/>
  <c r="A87" i="20"/>
  <c r="A86" i="20"/>
  <c r="A85" i="20"/>
  <c r="A84" i="20"/>
  <c r="A83" i="20"/>
  <c r="A82" i="20"/>
  <c r="A81" i="20"/>
  <c r="A80" i="20"/>
  <c r="A79" i="20"/>
  <c r="A78" i="20"/>
  <c r="A77" i="20"/>
  <c r="A76" i="20"/>
  <c r="A75" i="20"/>
  <c r="A74" i="20"/>
  <c r="A73" i="20"/>
  <c r="A72" i="20"/>
  <c r="A71" i="20"/>
  <c r="A70" i="20"/>
  <c r="A69" i="20"/>
  <c r="A68" i="20"/>
  <c r="A67" i="20"/>
  <c r="A66" i="20"/>
  <c r="A65" i="20"/>
  <c r="A64" i="20"/>
  <c r="A63" i="20"/>
  <c r="A62" i="20"/>
  <c r="A61" i="20"/>
  <c r="A60" i="20"/>
  <c r="A59" i="20"/>
  <c r="A58" i="20"/>
  <c r="A57" i="20"/>
  <c r="A56" i="20"/>
  <c r="A55" i="20"/>
  <c r="AF90" i="20" l="1"/>
  <c r="AJ90" i="20"/>
  <c r="D90" i="20"/>
  <c r="AD90" i="20"/>
  <c r="AH90" i="20"/>
  <c r="AL90" i="20"/>
  <c r="AG90" i="20"/>
  <c r="AK90" i="20"/>
  <c r="AE90" i="20"/>
  <c r="AI90" i="20"/>
  <c r="AG46" i="20" l="1"/>
  <c r="AF46" i="20"/>
  <c r="AE46" i="20"/>
  <c r="AD46" i="20"/>
  <c r="AC46" i="20"/>
  <c r="AB46" i="20"/>
  <c r="AA46" i="20"/>
  <c r="Z46" i="20"/>
  <c r="Y46" i="20"/>
  <c r="X46" i="20"/>
  <c r="W46" i="20"/>
  <c r="V46" i="20"/>
  <c r="U46" i="20"/>
  <c r="T46" i="20"/>
  <c r="S46" i="20"/>
  <c r="R46" i="20"/>
  <c r="Q46" i="20"/>
  <c r="P46" i="20"/>
  <c r="AG45" i="20"/>
  <c r="AF45" i="20"/>
  <c r="AE45" i="20"/>
  <c r="AD45" i="20"/>
  <c r="AC45" i="20"/>
  <c r="AB45" i="20"/>
  <c r="AA45" i="20"/>
  <c r="Z45" i="20"/>
  <c r="Y45" i="20"/>
  <c r="X45" i="20"/>
  <c r="W45" i="20"/>
  <c r="V45" i="20"/>
  <c r="U45" i="20"/>
  <c r="T45" i="20"/>
  <c r="S45" i="20"/>
  <c r="R45" i="20"/>
  <c r="Q45" i="20"/>
  <c r="P45" i="20"/>
  <c r="AG44" i="20"/>
  <c r="AF44" i="20"/>
  <c r="AE44" i="20"/>
  <c r="AD44" i="20"/>
  <c r="AC44" i="20"/>
  <c r="AB44" i="20"/>
  <c r="AA44" i="20"/>
  <c r="Z44" i="20"/>
  <c r="Y44" i="20"/>
  <c r="X44" i="20"/>
  <c r="W44" i="20"/>
  <c r="V44" i="20"/>
  <c r="U44" i="20"/>
  <c r="T44" i="20"/>
  <c r="S44" i="20"/>
  <c r="R44" i="20"/>
  <c r="Q44" i="20"/>
  <c r="P44" i="20"/>
  <c r="AG43" i="20"/>
  <c r="AF43" i="20"/>
  <c r="AE43" i="20"/>
  <c r="AD43" i="20"/>
  <c r="AC43" i="20"/>
  <c r="AB43" i="20"/>
  <c r="AA43" i="20"/>
  <c r="Z43" i="20"/>
  <c r="Y43" i="20"/>
  <c r="X43" i="20"/>
  <c r="W43" i="20"/>
  <c r="V43" i="20"/>
  <c r="U43" i="20"/>
  <c r="T43" i="20"/>
  <c r="S43" i="20"/>
  <c r="R43" i="20"/>
  <c r="Q43" i="20"/>
  <c r="P43" i="20"/>
  <c r="AG42" i="20"/>
  <c r="AF42" i="20"/>
  <c r="AE42" i="20"/>
  <c r="AD42" i="20"/>
  <c r="AC42" i="20"/>
  <c r="AB42" i="20"/>
  <c r="AA42" i="20"/>
  <c r="Z42" i="20"/>
  <c r="Y42" i="20"/>
  <c r="X42" i="20"/>
  <c r="W42" i="20"/>
  <c r="V42" i="20"/>
  <c r="U42" i="20"/>
  <c r="T42" i="20"/>
  <c r="S42" i="20"/>
  <c r="R42" i="20"/>
  <c r="Q42" i="20"/>
  <c r="P42" i="20"/>
  <c r="AG41" i="20"/>
  <c r="AF41" i="20"/>
  <c r="AE41" i="20"/>
  <c r="AD41" i="20"/>
  <c r="AC41" i="20"/>
  <c r="AB41" i="20"/>
  <c r="AA41" i="20"/>
  <c r="Z41" i="20"/>
  <c r="Y41" i="20"/>
  <c r="X41" i="20"/>
  <c r="W41" i="20"/>
  <c r="V41" i="20"/>
  <c r="U41" i="20"/>
  <c r="T41" i="20"/>
  <c r="S41" i="20"/>
  <c r="R41" i="20"/>
  <c r="Q41" i="20"/>
  <c r="P41" i="20"/>
  <c r="AF40" i="20"/>
  <c r="AE40" i="20"/>
  <c r="AD40" i="20"/>
  <c r="AC40" i="20"/>
  <c r="AB40" i="20"/>
  <c r="AA40" i="20"/>
  <c r="Z40" i="20"/>
  <c r="Y40" i="20"/>
  <c r="X40" i="20"/>
  <c r="W40" i="20"/>
  <c r="V40" i="20"/>
  <c r="U40" i="20"/>
  <c r="T40" i="20"/>
  <c r="S40" i="20"/>
  <c r="R40" i="20"/>
  <c r="Q40" i="20"/>
  <c r="P40" i="20"/>
  <c r="AE39" i="20"/>
  <c r="AD39" i="20"/>
  <c r="AC39" i="20"/>
  <c r="AB39" i="20"/>
  <c r="AA39" i="20"/>
  <c r="Z39" i="20"/>
  <c r="Y39" i="20"/>
  <c r="X39" i="20"/>
  <c r="W39" i="20"/>
  <c r="V39" i="20"/>
  <c r="U39" i="20"/>
  <c r="T39" i="20"/>
  <c r="S39" i="20"/>
  <c r="R39" i="20"/>
  <c r="Q39" i="20"/>
  <c r="P39" i="20"/>
  <c r="AD38" i="20"/>
  <c r="AC38" i="20"/>
  <c r="AB38" i="20"/>
  <c r="AA38" i="20"/>
  <c r="Z38" i="20"/>
  <c r="Y38" i="20"/>
  <c r="X38" i="20"/>
  <c r="W38" i="20"/>
  <c r="V38" i="20"/>
  <c r="U38" i="20"/>
  <c r="T38" i="20"/>
  <c r="S38" i="20"/>
  <c r="R38" i="20"/>
  <c r="Q38" i="20"/>
  <c r="P38" i="20"/>
  <c r="AC37" i="20"/>
  <c r="AB37" i="20"/>
  <c r="AA37" i="20"/>
  <c r="Z37" i="20"/>
  <c r="Y37" i="20"/>
  <c r="X37" i="20"/>
  <c r="W37" i="20"/>
  <c r="V37" i="20"/>
  <c r="U37" i="20"/>
  <c r="T37" i="20"/>
  <c r="S37" i="20"/>
  <c r="R37" i="20"/>
  <c r="Q37" i="20"/>
  <c r="P37" i="20"/>
  <c r="AB36" i="20"/>
  <c r="AA36" i="20"/>
  <c r="Z36" i="20"/>
  <c r="Y36" i="20"/>
  <c r="X36" i="20"/>
  <c r="W36" i="20"/>
  <c r="V36" i="20"/>
  <c r="U36" i="20"/>
  <c r="T36" i="20"/>
  <c r="S36" i="20"/>
  <c r="R36" i="20"/>
  <c r="Q36" i="20"/>
  <c r="P36" i="20"/>
  <c r="AA35" i="20"/>
  <c r="Z35" i="20"/>
  <c r="Y35" i="20"/>
  <c r="X35" i="20"/>
  <c r="W35" i="20"/>
  <c r="V35" i="20"/>
  <c r="U35" i="20"/>
  <c r="T35" i="20"/>
  <c r="S35" i="20"/>
  <c r="R35" i="20"/>
  <c r="Q35" i="20"/>
  <c r="P35" i="20"/>
  <c r="Z34" i="20"/>
  <c r="Y34" i="20"/>
  <c r="X34" i="20"/>
  <c r="W34" i="20"/>
  <c r="V34" i="20"/>
  <c r="U34" i="20"/>
  <c r="T34" i="20"/>
  <c r="S34" i="20"/>
  <c r="R34" i="20"/>
  <c r="Q34" i="20"/>
  <c r="P34" i="20"/>
  <c r="Y33" i="20"/>
  <c r="X33" i="20"/>
  <c r="W33" i="20"/>
  <c r="V33" i="20"/>
  <c r="U33" i="20"/>
  <c r="T33" i="20"/>
  <c r="S33" i="20"/>
  <c r="R33" i="20"/>
  <c r="Q33" i="20"/>
  <c r="P33" i="20"/>
  <c r="X32" i="20"/>
  <c r="W32" i="20"/>
  <c r="V32" i="20"/>
  <c r="U32" i="20"/>
  <c r="T32" i="20"/>
  <c r="S32" i="20"/>
  <c r="R32" i="20"/>
  <c r="Q32" i="20"/>
  <c r="P32" i="20"/>
  <c r="W31" i="20"/>
  <c r="V31" i="20"/>
  <c r="U31" i="20"/>
  <c r="T31" i="20"/>
  <c r="S31" i="20"/>
  <c r="R31" i="20"/>
  <c r="Q31" i="20"/>
  <c r="P31" i="20"/>
  <c r="V30" i="20"/>
  <c r="U30" i="20"/>
  <c r="T30" i="20"/>
  <c r="S30" i="20"/>
  <c r="R30" i="20"/>
  <c r="Q30" i="20"/>
  <c r="P30" i="20"/>
  <c r="U29" i="20"/>
  <c r="T29" i="20"/>
  <c r="S29" i="20"/>
  <c r="R29" i="20"/>
  <c r="Q29" i="20"/>
  <c r="P29" i="20"/>
  <c r="T28" i="20"/>
  <c r="S28" i="20"/>
  <c r="R28" i="20"/>
  <c r="Q28" i="20"/>
  <c r="P28" i="20"/>
  <c r="S27" i="20"/>
  <c r="R27" i="20"/>
  <c r="Q27" i="20"/>
  <c r="P27" i="20"/>
  <c r="R26" i="20"/>
  <c r="Q26" i="20"/>
  <c r="P26" i="20"/>
  <c r="Q25" i="20"/>
  <c r="P25" i="20"/>
  <c r="P24" i="20"/>
  <c r="O46" i="20"/>
  <c r="O45" i="20"/>
  <c r="O44" i="20"/>
  <c r="O43" i="20"/>
  <c r="O42" i="20"/>
  <c r="O41" i="20"/>
  <c r="O40" i="20"/>
  <c r="O39" i="20"/>
  <c r="O38" i="20"/>
  <c r="O37" i="20"/>
  <c r="O36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N46" i="20"/>
  <c r="N45" i="20"/>
  <c r="N44" i="20"/>
  <c r="N43" i="20"/>
  <c r="N42" i="20"/>
  <c r="N41" i="20"/>
  <c r="N40" i="20"/>
  <c r="N39" i="20"/>
  <c r="N38" i="20"/>
  <c r="N37" i="20"/>
  <c r="N36" i="20"/>
  <c r="N35" i="20"/>
  <c r="N34" i="20"/>
  <c r="N33" i="20"/>
  <c r="N32" i="20"/>
  <c r="N31" i="20"/>
  <c r="N30" i="20"/>
  <c r="N29" i="20"/>
  <c r="N28" i="20"/>
  <c r="N27" i="20"/>
  <c r="N26" i="20"/>
  <c r="N25" i="20"/>
  <c r="N24" i="20"/>
  <c r="N23" i="20"/>
  <c r="N22" i="20"/>
  <c r="M46" i="20"/>
  <c r="M45" i="20"/>
  <c r="M44" i="20"/>
  <c r="M43" i="20"/>
  <c r="M42" i="20"/>
  <c r="M41" i="20"/>
  <c r="M40" i="20"/>
  <c r="M39" i="20"/>
  <c r="M38" i="20"/>
  <c r="M37" i="20"/>
  <c r="M36" i="20"/>
  <c r="M35" i="20"/>
  <c r="M34" i="20"/>
  <c r="M33" i="20"/>
  <c r="M32" i="20"/>
  <c r="M31" i="20"/>
  <c r="M30" i="20"/>
  <c r="M29" i="20"/>
  <c r="M28" i="20"/>
  <c r="M27" i="20"/>
  <c r="M26" i="20"/>
  <c r="M25" i="20"/>
  <c r="M24" i="20"/>
  <c r="M23" i="20"/>
  <c r="M22" i="20"/>
  <c r="M21" i="20"/>
  <c r="L46" i="20"/>
  <c r="L45" i="20"/>
  <c r="L44" i="20"/>
  <c r="L43" i="20"/>
  <c r="L42" i="20"/>
  <c r="L41" i="20"/>
  <c r="L40" i="20"/>
  <c r="L39" i="20"/>
  <c r="L38" i="20"/>
  <c r="L37" i="20"/>
  <c r="L36" i="20"/>
  <c r="L35" i="20"/>
  <c r="L34" i="20"/>
  <c r="L33" i="20"/>
  <c r="L32" i="20"/>
  <c r="L31" i="20"/>
  <c r="L30" i="20"/>
  <c r="L29" i="20"/>
  <c r="L28" i="20"/>
  <c r="L27" i="20"/>
  <c r="L26" i="20"/>
  <c r="L25" i="20"/>
  <c r="L24" i="20"/>
  <c r="L23" i="20"/>
  <c r="L22" i="20"/>
  <c r="L21" i="20"/>
  <c r="L20" i="20"/>
  <c r="K46" i="20"/>
  <c r="K45" i="20"/>
  <c r="K44" i="20"/>
  <c r="K43" i="20"/>
  <c r="K42" i="20"/>
  <c r="K41" i="20"/>
  <c r="K40" i="20"/>
  <c r="K39" i="20"/>
  <c r="K38" i="20"/>
  <c r="K37" i="20"/>
  <c r="K36" i="20"/>
  <c r="K35" i="20"/>
  <c r="K34" i="20"/>
  <c r="K33" i="20"/>
  <c r="K32" i="20"/>
  <c r="K31" i="20"/>
  <c r="K30" i="20"/>
  <c r="K29" i="20"/>
  <c r="K28" i="20"/>
  <c r="K27" i="20"/>
  <c r="K26" i="20"/>
  <c r="K25" i="20"/>
  <c r="K24" i="20"/>
  <c r="K23" i="20"/>
  <c r="K22" i="20"/>
  <c r="K21" i="20"/>
  <c r="K20" i="20"/>
  <c r="K19" i="20"/>
  <c r="J46" i="20"/>
  <c r="J45" i="20"/>
  <c r="J44" i="20"/>
  <c r="J43" i="20"/>
  <c r="J42" i="20"/>
  <c r="J41" i="20"/>
  <c r="J40" i="20"/>
  <c r="J39" i="20"/>
  <c r="J38" i="20"/>
  <c r="J37" i="20"/>
  <c r="J36" i="20"/>
  <c r="J35" i="20"/>
  <c r="J34" i="20"/>
  <c r="J33" i="20"/>
  <c r="J32" i="20"/>
  <c r="J31" i="20"/>
  <c r="J30" i="20"/>
  <c r="J29" i="20"/>
  <c r="J28" i="20"/>
  <c r="J27" i="20"/>
  <c r="J26" i="20"/>
  <c r="J25" i="20"/>
  <c r="J24" i="20"/>
  <c r="J23" i="20"/>
  <c r="J22" i="20"/>
  <c r="J21" i="20"/>
  <c r="J20" i="20"/>
  <c r="J19" i="20"/>
  <c r="J18" i="20"/>
  <c r="I46" i="20"/>
  <c r="I45" i="20"/>
  <c r="I44" i="20"/>
  <c r="I43" i="20"/>
  <c r="I42" i="20"/>
  <c r="I41" i="20"/>
  <c r="I40" i="20"/>
  <c r="I39" i="20"/>
  <c r="I38" i="20"/>
  <c r="I37" i="20"/>
  <c r="I36" i="20"/>
  <c r="I35" i="20"/>
  <c r="I34" i="20"/>
  <c r="I33" i="20"/>
  <c r="I32" i="20"/>
  <c r="I31" i="20"/>
  <c r="I30" i="20"/>
  <c r="I29" i="20"/>
  <c r="I28" i="20"/>
  <c r="I27" i="20"/>
  <c r="I26" i="20"/>
  <c r="I25" i="20"/>
  <c r="I24" i="20"/>
  <c r="I23" i="20"/>
  <c r="I22" i="20"/>
  <c r="I21" i="20"/>
  <c r="I20" i="20"/>
  <c r="I19" i="20"/>
  <c r="I18" i="20"/>
  <c r="I17" i="20"/>
  <c r="H46" i="20"/>
  <c r="H45" i="20"/>
  <c r="H44" i="20"/>
  <c r="H43" i="20"/>
  <c r="H42" i="20"/>
  <c r="H41" i="20"/>
  <c r="H40" i="20"/>
  <c r="H39" i="20"/>
  <c r="H38" i="20"/>
  <c r="H37" i="20"/>
  <c r="H36" i="20"/>
  <c r="H35" i="20"/>
  <c r="H34" i="20"/>
  <c r="H33" i="20"/>
  <c r="H32" i="20"/>
  <c r="H31" i="20"/>
  <c r="H30" i="20"/>
  <c r="H29" i="20"/>
  <c r="H28" i="20"/>
  <c r="H27" i="20"/>
  <c r="H26" i="20"/>
  <c r="H25" i="20"/>
  <c r="H24" i="20"/>
  <c r="H23" i="20"/>
  <c r="H22" i="20"/>
  <c r="H21" i="20"/>
  <c r="H20" i="20"/>
  <c r="H19" i="20"/>
  <c r="H18" i="20"/>
  <c r="H17" i="20"/>
  <c r="H16" i="20"/>
  <c r="G46" i="20"/>
  <c r="G45" i="20"/>
  <c r="G44" i="20"/>
  <c r="G43" i="20"/>
  <c r="G42" i="20"/>
  <c r="G41" i="20"/>
  <c r="G40" i="20"/>
  <c r="G39" i="20"/>
  <c r="G38" i="20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F46" i="20"/>
  <c r="F45" i="20"/>
  <c r="F44" i="20"/>
  <c r="F43" i="20"/>
  <c r="F42" i="20"/>
  <c r="F41" i="20"/>
  <c r="F40" i="20"/>
  <c r="F39" i="20"/>
  <c r="F38" i="20"/>
  <c r="F37" i="20"/>
  <c r="F36" i="20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E46" i="20"/>
  <c r="E45" i="20"/>
  <c r="E44" i="20"/>
  <c r="E43" i="20"/>
  <c r="E42" i="20"/>
  <c r="E41" i="20"/>
  <c r="E40" i="20"/>
  <c r="E39" i="20"/>
  <c r="E38" i="20"/>
  <c r="E37" i="20"/>
  <c r="E36" i="20"/>
  <c r="E35" i="20"/>
  <c r="E34" i="20"/>
  <c r="E33" i="20"/>
  <c r="E32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D46" i="20"/>
  <c r="D45" i="20"/>
  <c r="D44" i="20"/>
  <c r="D43" i="20"/>
  <c r="D42" i="20"/>
  <c r="D41" i="20"/>
  <c r="D40" i="20"/>
  <c r="D39" i="20"/>
  <c r="D38" i="20"/>
  <c r="D37" i="20"/>
  <c r="D36" i="20"/>
  <c r="D35" i="20"/>
  <c r="D34" i="20"/>
  <c r="D33" i="20"/>
  <c r="D32" i="20"/>
  <c r="D31" i="20"/>
  <c r="D30" i="20"/>
  <c r="D29" i="20"/>
  <c r="D28" i="20"/>
  <c r="D27" i="20"/>
  <c r="D26" i="20"/>
  <c r="D25" i="20"/>
  <c r="D24" i="20"/>
  <c r="D23" i="20"/>
  <c r="D22" i="20"/>
  <c r="D21" i="20"/>
  <c r="D20" i="20"/>
  <c r="D19" i="20"/>
  <c r="D18" i="20"/>
  <c r="D17" i="20"/>
  <c r="D16" i="20"/>
  <c r="D15" i="20"/>
  <c r="D14" i="20"/>
  <c r="D13" i="20"/>
  <c r="D12" i="20"/>
  <c r="A13" i="20"/>
  <c r="A14" i="20"/>
  <c r="A15" i="20"/>
  <c r="A16" i="20"/>
  <c r="A17" i="20"/>
  <c r="A18" i="20"/>
  <c r="A19" i="20"/>
  <c r="A20" i="20"/>
  <c r="A21" i="20"/>
  <c r="A22" i="20"/>
  <c r="A23" i="20"/>
  <c r="AF23" i="20"/>
  <c r="A24" i="20"/>
  <c r="A25" i="20"/>
  <c r="T25" i="20"/>
  <c r="A26" i="20"/>
  <c r="Z26" i="20"/>
  <c r="A27" i="20"/>
  <c r="AB27" i="20"/>
  <c r="A28" i="20"/>
  <c r="Z28" i="20"/>
  <c r="A29" i="20"/>
  <c r="X29" i="20"/>
  <c r="A30" i="20"/>
  <c r="AD30" i="20"/>
  <c r="A31" i="20"/>
  <c r="X31" i="20"/>
  <c r="A32" i="20"/>
  <c r="Z32" i="20"/>
  <c r="A33" i="20"/>
  <c r="AB33" i="20"/>
  <c r="A34" i="20"/>
  <c r="A35" i="20"/>
  <c r="AB35" i="20"/>
  <c r="A36" i="20"/>
  <c r="A37" i="20"/>
  <c r="AF37" i="20"/>
  <c r="A38" i="20"/>
  <c r="A39" i="20"/>
  <c r="AG39" i="20"/>
  <c r="A40" i="20"/>
  <c r="A41" i="20"/>
  <c r="AH41" i="20" s="1"/>
  <c r="A42" i="20"/>
  <c r="AH42" i="20"/>
  <c r="A43" i="20"/>
  <c r="AK43" i="20" s="1"/>
  <c r="AH43" i="20"/>
  <c r="AI43" i="20"/>
  <c r="A44" i="20"/>
  <c r="AL44" i="20" s="1"/>
  <c r="AH44" i="20"/>
  <c r="AI44" i="20"/>
  <c r="AJ44" i="20"/>
  <c r="A45" i="20"/>
  <c r="AH45" i="20"/>
  <c r="AI45" i="20"/>
  <c r="AJ45" i="20"/>
  <c r="AK45" i="20"/>
  <c r="A46" i="20"/>
  <c r="AH46" i="20"/>
  <c r="AI46" i="20"/>
  <c r="AJ46" i="20"/>
  <c r="AK46" i="20"/>
  <c r="AL46" i="20"/>
  <c r="A12" i="20"/>
  <c r="AK44" i="20" l="1"/>
  <c r="AJ42" i="20"/>
  <c r="AI40" i="20"/>
  <c r="AI38" i="20"/>
  <c r="AH24" i="20"/>
  <c r="AL37" i="20"/>
  <c r="AI36" i="20"/>
  <c r="AI34" i="20"/>
  <c r="AL23" i="20"/>
  <c r="AI42" i="20"/>
  <c r="AB25" i="20"/>
  <c r="T27" i="20"/>
  <c r="AF29" i="20"/>
  <c r="AL45" i="20"/>
  <c r="AH35" i="20"/>
  <c r="AL33" i="20"/>
  <c r="AK41" i="20"/>
  <c r="AI39" i="20"/>
  <c r="AI30" i="20"/>
  <c r="AL24" i="20"/>
  <c r="R24" i="20"/>
  <c r="AF31" i="20"/>
  <c r="AL29" i="20"/>
  <c r="AJ24" i="20"/>
  <c r="AK23" i="20"/>
  <c r="Z30" i="20"/>
  <c r="AL41" i="20"/>
  <c r="X23" i="20"/>
  <c r="AJ41" i="20"/>
  <c r="AK40" i="20"/>
  <c r="AL39" i="20"/>
  <c r="AJ37" i="20"/>
  <c r="AK36" i="20"/>
  <c r="AL35" i="20"/>
  <c r="AJ33" i="20"/>
  <c r="AK32" i="20"/>
  <c r="AL31" i="20"/>
  <c r="AJ29" i="20"/>
  <c r="AK28" i="20"/>
  <c r="AL27" i="20"/>
  <c r="AJ26" i="20"/>
  <c r="AG24" i="20"/>
  <c r="AC24" i="20"/>
  <c r="Y24" i="20"/>
  <c r="U24" i="20"/>
  <c r="Q24" i="20"/>
  <c r="AF24" i="20"/>
  <c r="AB24" i="20"/>
  <c r="X24" i="20"/>
  <c r="T24" i="20"/>
  <c r="AE24" i="20"/>
  <c r="AA24" i="20"/>
  <c r="W24" i="20"/>
  <c r="S24" i="20"/>
  <c r="AI23" i="20"/>
  <c r="AB23" i="20"/>
  <c r="V24" i="20"/>
  <c r="AF25" i="20"/>
  <c r="V26" i="20"/>
  <c r="X27" i="20"/>
  <c r="V28" i="20"/>
  <c r="AF35" i="20"/>
  <c r="AH39" i="20"/>
  <c r="AG38" i="20"/>
  <c r="AF38" i="20"/>
  <c r="AE38" i="20"/>
  <c r="AH37" i="20"/>
  <c r="AG34" i="20"/>
  <c r="AC34" i="20"/>
  <c r="AF34" i="20"/>
  <c r="AB34" i="20"/>
  <c r="AE34" i="20"/>
  <c r="AA34" i="20"/>
  <c r="AH33" i="20"/>
  <c r="AI32" i="20"/>
  <c r="AH31" i="20"/>
  <c r="AG30" i="20"/>
  <c r="AC30" i="20"/>
  <c r="Y30" i="20"/>
  <c r="AF30" i="20"/>
  <c r="AB30" i="20"/>
  <c r="X30" i="20"/>
  <c r="AE30" i="20"/>
  <c r="AA30" i="20"/>
  <c r="W30" i="20"/>
  <c r="AH29" i="20"/>
  <c r="AI28" i="20"/>
  <c r="AH27" i="20"/>
  <c r="AI26" i="20"/>
  <c r="AI25" i="20"/>
  <c r="AK24" i="20"/>
  <c r="AH23" i="20"/>
  <c r="P23" i="20"/>
  <c r="Z24" i="20"/>
  <c r="AF39" i="20"/>
  <c r="AG26" i="20"/>
  <c r="AC26" i="20"/>
  <c r="Y26" i="20"/>
  <c r="U26" i="20"/>
  <c r="AF26" i="20"/>
  <c r="AB26" i="20"/>
  <c r="X26" i="20"/>
  <c r="T26" i="20"/>
  <c r="AE26" i="20"/>
  <c r="AA26" i="20"/>
  <c r="W26" i="20"/>
  <c r="S26" i="20"/>
  <c r="AL43" i="20"/>
  <c r="AJ43" i="20"/>
  <c r="AH40" i="20"/>
  <c r="AG40" i="20"/>
  <c r="AE37" i="20"/>
  <c r="AD37" i="20"/>
  <c r="AG37" i="20"/>
  <c r="AG36" i="20"/>
  <c r="AC36" i="20"/>
  <c r="AF36" i="20"/>
  <c r="AE36" i="20"/>
  <c r="AE35" i="20"/>
  <c r="AD35" i="20"/>
  <c r="AG35" i="20"/>
  <c r="AC35" i="20"/>
  <c r="AE33" i="20"/>
  <c r="AA33" i="20"/>
  <c r="AD33" i="20"/>
  <c r="Z33" i="20"/>
  <c r="AG33" i="20"/>
  <c r="AC33" i="20"/>
  <c r="AG32" i="20"/>
  <c r="AC32" i="20"/>
  <c r="Y32" i="20"/>
  <c r="AF32" i="20"/>
  <c r="AB32" i="20"/>
  <c r="AE32" i="20"/>
  <c r="AA32" i="20"/>
  <c r="AE31" i="20"/>
  <c r="AA31" i="20"/>
  <c r="AD31" i="20"/>
  <c r="Z31" i="20"/>
  <c r="AG31" i="20"/>
  <c r="AC31" i="20"/>
  <c r="Y31" i="20"/>
  <c r="AE29" i="20"/>
  <c r="AA29" i="20"/>
  <c r="W29" i="20"/>
  <c r="AD29" i="20"/>
  <c r="Z29" i="20"/>
  <c r="V29" i="20"/>
  <c r="AG29" i="20"/>
  <c r="AC29" i="20"/>
  <c r="Y29" i="20"/>
  <c r="AG28" i="20"/>
  <c r="AC28" i="20"/>
  <c r="Y28" i="20"/>
  <c r="U28" i="20"/>
  <c r="AF28" i="20"/>
  <c r="AB28" i="20"/>
  <c r="X28" i="20"/>
  <c r="AE28" i="20"/>
  <c r="AA28" i="20"/>
  <c r="W28" i="20"/>
  <c r="AE27" i="20"/>
  <c r="AA27" i="20"/>
  <c r="W27" i="20"/>
  <c r="AD27" i="20"/>
  <c r="Z27" i="20"/>
  <c r="V27" i="20"/>
  <c r="AG27" i="20"/>
  <c r="AC27" i="20"/>
  <c r="Y27" i="20"/>
  <c r="U27" i="20"/>
  <c r="AH26" i="20"/>
  <c r="AE25" i="20"/>
  <c r="AA25" i="20"/>
  <c r="W25" i="20"/>
  <c r="S25" i="20"/>
  <c r="AD25" i="20"/>
  <c r="Z25" i="20"/>
  <c r="V25" i="20"/>
  <c r="R25" i="20"/>
  <c r="AG25" i="20"/>
  <c r="AC25" i="20"/>
  <c r="Y25" i="20"/>
  <c r="U25" i="20"/>
  <c r="AE23" i="20"/>
  <c r="AA23" i="20"/>
  <c r="W23" i="20"/>
  <c r="S23" i="20"/>
  <c r="AD23" i="20"/>
  <c r="Z23" i="20"/>
  <c r="V23" i="20"/>
  <c r="R23" i="20"/>
  <c r="AG23" i="20"/>
  <c r="AC23" i="20"/>
  <c r="Y23" i="20"/>
  <c r="U23" i="20"/>
  <c r="Q23" i="20"/>
  <c r="T23" i="20"/>
  <c r="AD24" i="20"/>
  <c r="X25" i="20"/>
  <c r="AD26" i="20"/>
  <c r="AF27" i="20"/>
  <c r="AD28" i="20"/>
  <c r="AB29" i="20"/>
  <c r="AB31" i="20"/>
  <c r="AD32" i="20"/>
  <c r="AF33" i="20"/>
  <c r="AD34" i="20"/>
  <c r="AD36" i="20"/>
  <c r="AL42" i="20"/>
  <c r="AI41" i="20"/>
  <c r="AJ40" i="20"/>
  <c r="AK39" i="20"/>
  <c r="AL38" i="20"/>
  <c r="AH38" i="20"/>
  <c r="AI37" i="20"/>
  <c r="AJ36" i="20"/>
  <c r="AK35" i="20"/>
  <c r="AL34" i="20"/>
  <c r="AH34" i="20"/>
  <c r="AI33" i="20"/>
  <c r="AJ32" i="20"/>
  <c r="AK31" i="20"/>
  <c r="AL30" i="20"/>
  <c r="AH30" i="20"/>
  <c r="AI29" i="20"/>
  <c r="AJ28" i="20"/>
  <c r="AK27" i="20"/>
  <c r="AL26" i="20"/>
  <c r="AK42" i="20"/>
  <c r="AJ39" i="20"/>
  <c r="AK38" i="20"/>
  <c r="AJ35" i="20"/>
  <c r="AK34" i="20"/>
  <c r="AJ31" i="20"/>
  <c r="AK30" i="20"/>
  <c r="AJ27" i="20"/>
  <c r="AL40" i="20"/>
  <c r="AJ38" i="20"/>
  <c r="AK37" i="20"/>
  <c r="AL36" i="20"/>
  <c r="AH36" i="20"/>
  <c r="AI35" i="20"/>
  <c r="AJ34" i="20"/>
  <c r="AK33" i="20"/>
  <c r="AL32" i="20"/>
  <c r="AH32" i="20"/>
  <c r="AI31" i="20"/>
  <c r="AJ30" i="20"/>
  <c r="AK29" i="20"/>
  <c r="AL28" i="20"/>
  <c r="AH28" i="20"/>
  <c r="AI27" i="20"/>
  <c r="AK26" i="20"/>
  <c r="AJ25" i="20"/>
  <c r="AK25" i="20"/>
  <c r="AH25" i="20"/>
  <c r="AL25" i="20"/>
  <c r="AI24" i="20"/>
  <c r="AJ23" i="20"/>
  <c r="D47" i="20" l="1"/>
  <c r="D92" i="20" l="1"/>
  <c r="E40" i="30" s="1"/>
  <c r="E40" i="26" l="1"/>
  <c r="M28" i="10"/>
  <c r="L28" i="10"/>
  <c r="K28" i="10"/>
  <c r="J28" i="10"/>
  <c r="I28" i="10"/>
  <c r="H28" i="10"/>
  <c r="G28" i="10"/>
  <c r="F28" i="10"/>
  <c r="E28" i="10"/>
  <c r="D28" i="10"/>
  <c r="C28" i="10"/>
  <c r="M24" i="10"/>
  <c r="L24" i="10"/>
  <c r="K24" i="10"/>
  <c r="J24" i="10"/>
  <c r="I24" i="10"/>
  <c r="H24" i="10"/>
  <c r="G24" i="10"/>
  <c r="F24" i="10"/>
  <c r="E24" i="10"/>
  <c r="D24" i="10"/>
  <c r="C24" i="10"/>
  <c r="K15" i="2" l="1"/>
  <c r="K16" i="2"/>
  <c r="J8" i="5"/>
  <c r="C84" i="45" l="1"/>
  <c r="C81" i="44"/>
  <c r="C92" i="40"/>
  <c r="J7" i="5"/>
  <c r="E56" i="2"/>
  <c r="E61" i="2"/>
  <c r="E60" i="2"/>
  <c r="E59" i="2"/>
  <c r="E57" i="2"/>
  <c r="E58" i="2"/>
  <c r="C16" i="10"/>
  <c r="H16" i="10"/>
  <c r="G16" i="10"/>
  <c r="J16" i="10"/>
  <c r="F16" i="10"/>
  <c r="M16" i="10"/>
  <c r="I16" i="10"/>
  <c r="E16" i="10"/>
  <c r="L16" i="10"/>
  <c r="K16" i="10"/>
  <c r="D16" i="10"/>
  <c r="M20" i="10"/>
  <c r="L20" i="10"/>
  <c r="K20" i="10"/>
  <c r="J20" i="10"/>
  <c r="I20" i="10"/>
  <c r="H20" i="10"/>
  <c r="G20" i="10"/>
  <c r="F20" i="10"/>
  <c r="E20" i="10"/>
  <c r="D20" i="10"/>
  <c r="C20" i="10"/>
  <c r="AL13" i="20" l="1"/>
  <c r="AG13" i="20"/>
  <c r="AF13" i="20"/>
  <c r="AE13" i="20"/>
  <c r="AH13" i="20"/>
  <c r="AI13" i="20"/>
  <c r="AJ13" i="20"/>
  <c r="AK13" i="20"/>
  <c r="AJ16" i="20"/>
  <c r="AK16" i="20"/>
  <c r="AL16" i="20"/>
  <c r="AI16" i="20"/>
  <c r="AH16" i="20"/>
  <c r="AH12" i="20"/>
  <c r="AI12" i="20"/>
  <c r="AG12" i="20"/>
  <c r="AL12" i="20"/>
  <c r="AF12" i="20"/>
  <c r="AK12" i="20"/>
  <c r="AE12" i="20"/>
  <c r="AJ12" i="20"/>
  <c r="AD12" i="20"/>
  <c r="AK19" i="20"/>
  <c r="AL19" i="20"/>
  <c r="AF14" i="20"/>
  <c r="AH14" i="20"/>
  <c r="AJ14" i="20"/>
  <c r="AK14" i="20"/>
  <c r="AG14" i="20"/>
  <c r="AI14" i="20"/>
  <c r="AL14" i="20"/>
  <c r="AL18" i="20"/>
  <c r="AK18" i="20"/>
  <c r="AJ18" i="20"/>
  <c r="AH15" i="20"/>
  <c r="AG15" i="20"/>
  <c r="AI15" i="20"/>
  <c r="AK15" i="20"/>
  <c r="AJ15" i="20"/>
  <c r="AL15" i="20"/>
  <c r="AL17" i="20"/>
  <c r="AI17" i="20"/>
  <c r="AJ17" i="20"/>
  <c r="AK17" i="20"/>
  <c r="R22" i="20"/>
  <c r="AL22" i="20"/>
  <c r="Z22" i="20"/>
  <c r="U22" i="20"/>
  <c r="X22" i="20"/>
  <c r="AA22" i="20"/>
  <c r="AI22" i="20"/>
  <c r="AG22" i="20"/>
  <c r="Q22" i="20"/>
  <c r="T22" i="20"/>
  <c r="W22" i="20"/>
  <c r="AJ22" i="20"/>
  <c r="O22" i="20"/>
  <c r="AD22" i="20"/>
  <c r="AC22" i="20"/>
  <c r="AF22" i="20"/>
  <c r="P22" i="20"/>
  <c r="S22" i="20"/>
  <c r="V22" i="20"/>
  <c r="AK22" i="20"/>
  <c r="Y22" i="20"/>
  <c r="AB22" i="20"/>
  <c r="AE22" i="20"/>
  <c r="AH22" i="20"/>
  <c r="E26" i="2" l="1"/>
  <c r="AH61" i="30" l="1"/>
  <c r="Z61" i="30"/>
  <c r="R61" i="30"/>
  <c r="AH58" i="26"/>
  <c r="Z58" i="26"/>
  <c r="R58" i="26"/>
  <c r="AF61" i="30"/>
  <c r="X61" i="30"/>
  <c r="P61" i="30"/>
  <c r="AF58" i="26"/>
  <c r="X58" i="26"/>
  <c r="P58" i="26"/>
  <c r="AM61" i="30"/>
  <c r="AE61" i="30"/>
  <c r="AM58" i="26"/>
  <c r="AL61" i="30"/>
  <c r="V61" i="30"/>
  <c r="AD58" i="26"/>
  <c r="AK61" i="30"/>
  <c r="U61" i="30"/>
  <c r="AC58" i="26"/>
  <c r="AJ61" i="30"/>
  <c r="T61" i="30"/>
  <c r="AB58" i="26"/>
  <c r="AI61" i="30"/>
  <c r="S61" i="30"/>
  <c r="AA58" i="26"/>
  <c r="AG61" i="30"/>
  <c r="Y61" i="30"/>
  <c r="Q61" i="30"/>
  <c r="AG58" i="26"/>
  <c r="Y58" i="26"/>
  <c r="Q58" i="26"/>
  <c r="W61" i="30"/>
  <c r="AE58" i="26"/>
  <c r="W58" i="26"/>
  <c r="AD61" i="30"/>
  <c r="AL58" i="26"/>
  <c r="V58" i="26"/>
  <c r="AC61" i="30"/>
  <c r="AK58" i="26"/>
  <c r="U58" i="26"/>
  <c r="AB61" i="30"/>
  <c r="AJ58" i="26"/>
  <c r="T58" i="26"/>
  <c r="AA61" i="30"/>
  <c r="AI58" i="26"/>
  <c r="S58" i="26"/>
  <c r="AL20" i="20" l="1"/>
  <c r="C17" i="10"/>
  <c r="C25" i="10" l="1"/>
  <c r="C26" i="10" s="1"/>
  <c r="E24" i="30" s="1"/>
  <c r="C33" i="10"/>
  <c r="C13" i="10"/>
  <c r="E30" i="30" s="1"/>
  <c r="C18" i="10"/>
  <c r="C29" i="10"/>
  <c r="C30" i="10" s="1"/>
  <c r="C21" i="10"/>
  <c r="C22" i="10" s="1"/>
  <c r="E24" i="26" l="1"/>
  <c r="E12" i="26"/>
  <c r="E12" i="30"/>
  <c r="E25" i="30"/>
  <c r="E13" i="30"/>
  <c r="E23" i="30"/>
  <c r="E11" i="30"/>
  <c r="C34" i="10"/>
  <c r="C45" i="10"/>
  <c r="C41" i="10"/>
  <c r="C42" i="10" s="1"/>
  <c r="E57" i="10" s="1"/>
  <c r="C37" i="10"/>
  <c r="E13" i="26"/>
  <c r="E25" i="26"/>
  <c r="E11" i="26"/>
  <c r="E23" i="26"/>
  <c r="E30" i="26"/>
  <c r="E60" i="10" l="1"/>
  <c r="E27" i="30"/>
  <c r="E27" i="26"/>
  <c r="C46" i="10"/>
  <c r="C63" i="10" s="1"/>
  <c r="C66" i="10" s="1"/>
  <c r="E58" i="26"/>
  <c r="E61" i="30"/>
  <c r="C38" i="10"/>
  <c r="E16" i="30" l="1"/>
  <c r="E16" i="26"/>
  <c r="E28" i="30"/>
  <c r="E28" i="26"/>
  <c r="E26" i="30"/>
  <c r="E26" i="26"/>
  <c r="G15" i="26"/>
  <c r="G15" i="30"/>
  <c r="E29" i="26"/>
  <c r="E29" i="30"/>
  <c r="E92" i="26"/>
  <c r="C55" i="20"/>
  <c r="E10" i="26" l="1"/>
  <c r="E35" i="30" s="1"/>
  <c r="E79" i="30"/>
  <c r="F55" i="20"/>
  <c r="N55" i="20"/>
  <c r="M55" i="20"/>
  <c r="I55" i="20"/>
  <c r="L55" i="20"/>
  <c r="R55" i="20"/>
  <c r="J55" i="20"/>
  <c r="O55" i="20"/>
  <c r="S55" i="20"/>
  <c r="Q55" i="20"/>
  <c r="E55" i="20"/>
  <c r="E90" i="20" s="1"/>
  <c r="G55" i="20"/>
  <c r="K55" i="20"/>
  <c r="H55" i="20"/>
  <c r="P55" i="20"/>
  <c r="E10" i="30"/>
  <c r="E72" i="26"/>
  <c r="E19" i="26" l="1"/>
  <c r="E58" i="30"/>
  <c r="E19" i="30"/>
  <c r="E78" i="30"/>
  <c r="E77" i="30" s="1"/>
  <c r="E18" i="30" s="1"/>
  <c r="E55" i="26"/>
  <c r="E71" i="26"/>
  <c r="E70" i="26" s="1"/>
  <c r="E18" i="26" s="1"/>
  <c r="E17" i="26" l="1"/>
  <c r="E17" i="30"/>
  <c r="E20" i="30" l="1"/>
  <c r="E20" i="26"/>
  <c r="E43" i="26" l="1"/>
  <c r="E38" i="26"/>
  <c r="D17" i="10"/>
  <c r="G11" i="2" l="1"/>
  <c r="D33" i="10"/>
  <c r="D45" i="10" s="1"/>
  <c r="D13" i="10"/>
  <c r="F30" i="30" s="1"/>
  <c r="D18" i="10"/>
  <c r="D21" i="10"/>
  <c r="D22" i="10" s="1"/>
  <c r="F23" i="30" s="1"/>
  <c r="D29" i="10"/>
  <c r="D30" i="10" s="1"/>
  <c r="F25" i="30" s="1"/>
  <c r="D25" i="10"/>
  <c r="D26" i="10" s="1"/>
  <c r="F24" i="30" s="1"/>
  <c r="J17" i="10"/>
  <c r="J33" i="10"/>
  <c r="M33" i="10"/>
  <c r="M17" i="10"/>
  <c r="G17" i="10"/>
  <c r="G33" i="10"/>
  <c r="K33" i="10"/>
  <c r="K17" i="10"/>
  <c r="H17" i="10"/>
  <c r="H33" i="10"/>
  <c r="E33" i="10"/>
  <c r="E17" i="10"/>
  <c r="L17" i="10"/>
  <c r="L33" i="10"/>
  <c r="F33" i="10"/>
  <c r="F17" i="10"/>
  <c r="I33" i="10"/>
  <c r="I17" i="10"/>
  <c r="G10" i="2"/>
  <c r="F22" i="2" l="1"/>
  <c r="G12" i="2"/>
  <c r="F12" i="2" s="1"/>
  <c r="D46" i="10"/>
  <c r="D63" i="10" s="1"/>
  <c r="F12" i="30"/>
  <c r="F13" i="30"/>
  <c r="F11" i="30"/>
  <c r="E13" i="10"/>
  <c r="G30" i="30" s="1"/>
  <c r="F23" i="2"/>
  <c r="F21" i="2"/>
  <c r="F30" i="26"/>
  <c r="D41" i="10"/>
  <c r="D42" i="10" s="1"/>
  <c r="F57" i="10" s="1"/>
  <c r="D34" i="10"/>
  <c r="E34" i="10" s="1"/>
  <c r="F34" i="10" s="1"/>
  <c r="G34" i="10" s="1"/>
  <c r="H34" i="10" s="1"/>
  <c r="I34" i="10" s="1"/>
  <c r="J34" i="10" s="1"/>
  <c r="K34" i="10" s="1"/>
  <c r="L34" i="10" s="1"/>
  <c r="M34" i="10" s="1"/>
  <c r="N34" i="10" s="1"/>
  <c r="O34" i="10" s="1"/>
  <c r="P34" i="10" s="1"/>
  <c r="Q34" i="10" s="1"/>
  <c r="R34" i="10" s="1"/>
  <c r="S34" i="10" s="1"/>
  <c r="T34" i="10" s="1"/>
  <c r="U34" i="10" s="1"/>
  <c r="V34" i="10" s="1"/>
  <c r="W34" i="10" s="1"/>
  <c r="X34" i="10" s="1"/>
  <c r="Y34" i="10" s="1"/>
  <c r="Z34" i="10" s="1"/>
  <c r="AA34" i="10" s="1"/>
  <c r="AB34" i="10" s="1"/>
  <c r="AC34" i="10" s="1"/>
  <c r="AD34" i="10" s="1"/>
  <c r="AE34" i="10" s="1"/>
  <c r="AF34" i="10" s="1"/>
  <c r="AG34" i="10" s="1"/>
  <c r="AH34" i="10" s="1"/>
  <c r="AI34" i="10" s="1"/>
  <c r="AJ34" i="10" s="1"/>
  <c r="AK34" i="10" s="1"/>
  <c r="D37" i="10"/>
  <c r="F19" i="2"/>
  <c r="F18" i="2"/>
  <c r="F17" i="2"/>
  <c r="K21" i="10"/>
  <c r="K25" i="10"/>
  <c r="K29" i="10"/>
  <c r="G25" i="10"/>
  <c r="G21" i="10"/>
  <c r="G29" i="10"/>
  <c r="J29" i="10"/>
  <c r="J21" i="10"/>
  <c r="J25" i="10"/>
  <c r="F45" i="10"/>
  <c r="F37" i="10"/>
  <c r="F41" i="10"/>
  <c r="L29" i="10"/>
  <c r="L21" i="10"/>
  <c r="L25" i="10"/>
  <c r="E29" i="10"/>
  <c r="E30" i="10" s="1"/>
  <c r="G25" i="30" s="1"/>
  <c r="E18" i="10"/>
  <c r="F18" i="10" s="1"/>
  <c r="G18" i="10" s="1"/>
  <c r="H18" i="10" s="1"/>
  <c r="I18" i="10" s="1"/>
  <c r="J18" i="10" s="1"/>
  <c r="K18" i="10" s="1"/>
  <c r="L18" i="10" s="1"/>
  <c r="M18" i="10" s="1"/>
  <c r="N18" i="10" s="1"/>
  <c r="O18" i="10" s="1"/>
  <c r="P18" i="10" s="1"/>
  <c r="Q18" i="10" s="1"/>
  <c r="R18" i="10" s="1"/>
  <c r="S18" i="10" s="1"/>
  <c r="T18" i="10" s="1"/>
  <c r="U18" i="10" s="1"/>
  <c r="V18" i="10" s="1"/>
  <c r="W18" i="10" s="1"/>
  <c r="X18" i="10" s="1"/>
  <c r="Y18" i="10" s="1"/>
  <c r="Z18" i="10" s="1"/>
  <c r="AA18" i="10" s="1"/>
  <c r="AB18" i="10" s="1"/>
  <c r="AC18" i="10" s="1"/>
  <c r="AD18" i="10" s="1"/>
  <c r="AE18" i="10" s="1"/>
  <c r="AF18" i="10" s="1"/>
  <c r="AG18" i="10" s="1"/>
  <c r="AH18" i="10" s="1"/>
  <c r="AI18" i="10" s="1"/>
  <c r="AJ18" i="10" s="1"/>
  <c r="AK18" i="10" s="1"/>
  <c r="E25" i="10"/>
  <c r="E26" i="10" s="1"/>
  <c r="G24" i="30" s="1"/>
  <c r="E21" i="10"/>
  <c r="E22" i="10" s="1"/>
  <c r="G23" i="30" s="1"/>
  <c r="H41" i="10"/>
  <c r="H37" i="10"/>
  <c r="H45" i="10"/>
  <c r="K37" i="10"/>
  <c r="K45" i="10"/>
  <c r="K41" i="10"/>
  <c r="M29" i="10"/>
  <c r="M25" i="10"/>
  <c r="M21" i="10"/>
  <c r="F25" i="26"/>
  <c r="F13" i="26"/>
  <c r="F25" i="10"/>
  <c r="F29" i="10"/>
  <c r="F21" i="10"/>
  <c r="L41" i="10"/>
  <c r="L37" i="10"/>
  <c r="L45" i="10"/>
  <c r="I21" i="10"/>
  <c r="I29" i="10"/>
  <c r="I25" i="10"/>
  <c r="E45" i="10"/>
  <c r="E37" i="10"/>
  <c r="E41" i="10"/>
  <c r="H29" i="10"/>
  <c r="H21" i="10"/>
  <c r="H25" i="10"/>
  <c r="M41" i="10"/>
  <c r="M45" i="10"/>
  <c r="M37" i="10"/>
  <c r="F12" i="26"/>
  <c r="F24" i="26"/>
  <c r="F23" i="26"/>
  <c r="F11" i="26"/>
  <c r="I37" i="10"/>
  <c r="I41" i="10"/>
  <c r="I45" i="10"/>
  <c r="G41" i="10"/>
  <c r="G45" i="10"/>
  <c r="G37" i="10"/>
  <c r="J37" i="10"/>
  <c r="J45" i="10"/>
  <c r="J41" i="10"/>
  <c r="D66" i="10" l="1"/>
  <c r="F16" i="30"/>
  <c r="F16" i="26"/>
  <c r="F60" i="10"/>
  <c r="H15" i="30" s="1"/>
  <c r="F27" i="26"/>
  <c r="F27" i="30"/>
  <c r="F28" i="26"/>
  <c r="F28" i="30"/>
  <c r="E46" i="10"/>
  <c r="E63" i="10" s="1"/>
  <c r="K61" i="30"/>
  <c r="N61" i="30"/>
  <c r="H61" i="30"/>
  <c r="O61" i="30"/>
  <c r="L61" i="30"/>
  <c r="I58" i="26"/>
  <c r="C59" i="20" s="1"/>
  <c r="M61" i="30"/>
  <c r="J58" i="26"/>
  <c r="G61" i="30"/>
  <c r="H58" i="26"/>
  <c r="H92" i="26" s="1"/>
  <c r="K58" i="26"/>
  <c r="D38" i="10"/>
  <c r="E51" i="10" s="1"/>
  <c r="F61" i="30"/>
  <c r="F58" i="26"/>
  <c r="F92" i="26" s="1"/>
  <c r="G58" i="26"/>
  <c r="N58" i="26"/>
  <c r="L58" i="26"/>
  <c r="I61" i="30"/>
  <c r="M58" i="26"/>
  <c r="M92" i="26" s="1"/>
  <c r="J61" i="30"/>
  <c r="O58" i="26"/>
  <c r="C65" i="20" s="1"/>
  <c r="Y65" i="20" s="1"/>
  <c r="F29" i="30"/>
  <c r="G30" i="26"/>
  <c r="G13" i="30"/>
  <c r="G11" i="30"/>
  <c r="G12" i="30"/>
  <c r="F13" i="10"/>
  <c r="C31" i="30"/>
  <c r="E42" i="10"/>
  <c r="G57" i="10" s="1"/>
  <c r="E38" i="10"/>
  <c r="F51" i="10" s="1"/>
  <c r="F46" i="10"/>
  <c r="F63" i="10" s="1"/>
  <c r="G13" i="26"/>
  <c r="G25" i="26"/>
  <c r="F30" i="10"/>
  <c r="H25" i="30" s="1"/>
  <c r="G11" i="26"/>
  <c r="G23" i="26"/>
  <c r="F22" i="10"/>
  <c r="H23" i="30" s="1"/>
  <c r="G24" i="26"/>
  <c r="G12" i="26"/>
  <c r="F26" i="10"/>
  <c r="H24" i="30" s="1"/>
  <c r="C31" i="26"/>
  <c r="F66" i="10" l="1"/>
  <c r="H16" i="26" s="1"/>
  <c r="E66" i="10"/>
  <c r="G16" i="26" s="1"/>
  <c r="F54" i="10"/>
  <c r="H15" i="26"/>
  <c r="E54" i="10"/>
  <c r="F26" i="26"/>
  <c r="F26" i="30"/>
  <c r="F79" i="30" s="1"/>
  <c r="H28" i="30"/>
  <c r="H28" i="26"/>
  <c r="G28" i="30"/>
  <c r="G28" i="26"/>
  <c r="G16" i="30"/>
  <c r="G26" i="30"/>
  <c r="G26" i="26"/>
  <c r="G60" i="10"/>
  <c r="I15" i="26" s="1"/>
  <c r="G27" i="26"/>
  <c r="G27" i="30"/>
  <c r="F29" i="26"/>
  <c r="G29" i="26"/>
  <c r="G29" i="30"/>
  <c r="H30" i="26"/>
  <c r="H11" i="30"/>
  <c r="H13" i="30"/>
  <c r="H12" i="30"/>
  <c r="G13" i="10"/>
  <c r="I30" i="30" s="1"/>
  <c r="H30" i="30"/>
  <c r="C56" i="20"/>
  <c r="R56" i="20" s="1"/>
  <c r="F38" i="10"/>
  <c r="G51" i="10" s="1"/>
  <c r="G54" i="10" s="1"/>
  <c r="F42" i="10"/>
  <c r="H57" i="10" s="1"/>
  <c r="I92" i="26"/>
  <c r="C63" i="20"/>
  <c r="Z63" i="20" s="1"/>
  <c r="Z65" i="20"/>
  <c r="W65" i="20"/>
  <c r="S65" i="20"/>
  <c r="X65" i="20"/>
  <c r="AA65" i="20"/>
  <c r="P65" i="20"/>
  <c r="AC65" i="20"/>
  <c r="AC90" i="20" s="1"/>
  <c r="U65" i="20"/>
  <c r="F10" i="26"/>
  <c r="F35" i="30" s="1"/>
  <c r="F72" i="26"/>
  <c r="V65" i="20"/>
  <c r="R65" i="20"/>
  <c r="Q65" i="20"/>
  <c r="T65" i="20"/>
  <c r="F10" i="30"/>
  <c r="F58" i="30" s="1"/>
  <c r="C58" i="26"/>
  <c r="L9" i="2" s="1"/>
  <c r="C58" i="20"/>
  <c r="M58" i="20" s="1"/>
  <c r="O65" i="20"/>
  <c r="AB65" i="20"/>
  <c r="C61" i="30"/>
  <c r="M59" i="20"/>
  <c r="Q59" i="20"/>
  <c r="L59" i="20"/>
  <c r="P59" i="20"/>
  <c r="S59" i="20"/>
  <c r="V59" i="20"/>
  <c r="O59" i="20"/>
  <c r="N59" i="20"/>
  <c r="K59" i="20"/>
  <c r="J59" i="20"/>
  <c r="U59" i="20"/>
  <c r="I59" i="20"/>
  <c r="W59" i="20"/>
  <c r="R59" i="20"/>
  <c r="T59" i="20"/>
  <c r="C62" i="20"/>
  <c r="L92" i="26"/>
  <c r="H11" i="26"/>
  <c r="H23" i="26"/>
  <c r="G22" i="10"/>
  <c r="I23" i="30" s="1"/>
  <c r="N92" i="26"/>
  <c r="C64" i="20"/>
  <c r="C61" i="20"/>
  <c r="K92" i="26"/>
  <c r="G92" i="26"/>
  <c r="C57" i="20"/>
  <c r="H12" i="26"/>
  <c r="H24" i="26"/>
  <c r="G26" i="10"/>
  <c r="I24" i="30" s="1"/>
  <c r="H13" i="26"/>
  <c r="H25" i="26"/>
  <c r="G30" i="10"/>
  <c r="I25" i="30" s="1"/>
  <c r="J92" i="26"/>
  <c r="C60" i="20"/>
  <c r="G46" i="10"/>
  <c r="G63" i="10" s="1"/>
  <c r="G66" i="10" l="1"/>
  <c r="I16" i="26" s="1"/>
  <c r="I14" i="30"/>
  <c r="G14" i="30"/>
  <c r="G14" i="26"/>
  <c r="G10" i="26" s="1"/>
  <c r="G35" i="30" s="1"/>
  <c r="G35" i="26"/>
  <c r="H16" i="30"/>
  <c r="I14" i="26"/>
  <c r="H60" i="10"/>
  <c r="J15" i="26" s="1"/>
  <c r="H27" i="30"/>
  <c r="H27" i="26"/>
  <c r="H26" i="30"/>
  <c r="H26" i="26"/>
  <c r="I15" i="30"/>
  <c r="I16" i="30"/>
  <c r="F35" i="26"/>
  <c r="I28" i="30"/>
  <c r="I28" i="26"/>
  <c r="H14" i="26"/>
  <c r="H14" i="30"/>
  <c r="F71" i="26"/>
  <c r="F70" i="26" s="1"/>
  <c r="F18" i="26" s="1"/>
  <c r="H13" i="10"/>
  <c r="H29" i="30"/>
  <c r="H29" i="26"/>
  <c r="I30" i="26"/>
  <c r="I13" i="30"/>
  <c r="I11" i="30"/>
  <c r="I12" i="30"/>
  <c r="G42" i="10"/>
  <c r="I57" i="10" s="1"/>
  <c r="L56" i="20"/>
  <c r="K56" i="20"/>
  <c r="J56" i="20"/>
  <c r="P56" i="20"/>
  <c r="I56" i="20"/>
  <c r="O56" i="20"/>
  <c r="N56" i="20"/>
  <c r="Q56" i="20"/>
  <c r="H56" i="20"/>
  <c r="F56" i="20"/>
  <c r="F90" i="20" s="1"/>
  <c r="M56" i="20"/>
  <c r="T56" i="20"/>
  <c r="S56" i="20"/>
  <c r="G56" i="20"/>
  <c r="G72" i="26"/>
  <c r="G38" i="10"/>
  <c r="H51" i="10" s="1"/>
  <c r="AA63" i="20"/>
  <c r="P63" i="20"/>
  <c r="Q63" i="20"/>
  <c r="F78" i="30"/>
  <c r="F77" i="30" s="1"/>
  <c r="F18" i="30" s="1"/>
  <c r="M63" i="20"/>
  <c r="F19" i="30"/>
  <c r="G79" i="30"/>
  <c r="W63" i="20"/>
  <c r="N63" i="20"/>
  <c r="O63" i="20"/>
  <c r="X63" i="20"/>
  <c r="Y63" i="20"/>
  <c r="S63" i="20"/>
  <c r="R63" i="20"/>
  <c r="V63" i="20"/>
  <c r="T63" i="20"/>
  <c r="U63" i="20"/>
  <c r="G10" i="30"/>
  <c r="G78" i="30" s="1"/>
  <c r="U58" i="20"/>
  <c r="L58" i="20"/>
  <c r="Q58" i="20"/>
  <c r="F19" i="26"/>
  <c r="F55" i="26"/>
  <c r="V58" i="20"/>
  <c r="N58" i="20"/>
  <c r="K58" i="20"/>
  <c r="I58" i="20"/>
  <c r="O58" i="20"/>
  <c r="T58" i="20"/>
  <c r="J58" i="20"/>
  <c r="P58" i="20"/>
  <c r="R58" i="20"/>
  <c r="H58" i="20"/>
  <c r="S58" i="20"/>
  <c r="O64" i="20"/>
  <c r="W64" i="20"/>
  <c r="P64" i="20"/>
  <c r="Y64" i="20"/>
  <c r="R64" i="20"/>
  <c r="S64" i="20"/>
  <c r="X64" i="20"/>
  <c r="V64" i="20"/>
  <c r="AA64" i="20"/>
  <c r="T64" i="20"/>
  <c r="N64" i="20"/>
  <c r="Q64" i="20"/>
  <c r="U64" i="20"/>
  <c r="AB64" i="20"/>
  <c r="AB90" i="20" s="1"/>
  <c r="Z64" i="20"/>
  <c r="Q62" i="20"/>
  <c r="U62" i="20"/>
  <c r="M62" i="20"/>
  <c r="V62" i="20"/>
  <c r="N62" i="20"/>
  <c r="S62" i="20"/>
  <c r="T62" i="20"/>
  <c r="O62" i="20"/>
  <c r="P62" i="20"/>
  <c r="L62" i="20"/>
  <c r="R62" i="20"/>
  <c r="Y62" i="20"/>
  <c r="X62" i="20"/>
  <c r="W62" i="20"/>
  <c r="Z62" i="20"/>
  <c r="R57" i="20"/>
  <c r="K57" i="20"/>
  <c r="T57" i="20"/>
  <c r="N57" i="20"/>
  <c r="L57" i="20"/>
  <c r="I57" i="20"/>
  <c r="O57" i="20"/>
  <c r="M57" i="20"/>
  <c r="U57" i="20"/>
  <c r="G57" i="20"/>
  <c r="P57" i="20"/>
  <c r="S57" i="20"/>
  <c r="H57" i="20"/>
  <c r="Q57" i="20"/>
  <c r="J57" i="20"/>
  <c r="I11" i="26"/>
  <c r="I23" i="26"/>
  <c r="H22" i="10"/>
  <c r="J23" i="30" s="1"/>
  <c r="H46" i="10"/>
  <c r="H63" i="10" s="1"/>
  <c r="H66" i="10" s="1"/>
  <c r="S60" i="20"/>
  <c r="K60" i="20"/>
  <c r="J60" i="20"/>
  <c r="R60" i="20"/>
  <c r="W60" i="20"/>
  <c r="O60" i="20"/>
  <c r="M60" i="20"/>
  <c r="L60" i="20"/>
  <c r="T60" i="20"/>
  <c r="Q60" i="20"/>
  <c r="U60" i="20"/>
  <c r="P60" i="20"/>
  <c r="N60" i="20"/>
  <c r="V60" i="20"/>
  <c r="X60" i="20"/>
  <c r="I25" i="26"/>
  <c r="I13" i="26"/>
  <c r="H30" i="10"/>
  <c r="J25" i="30" s="1"/>
  <c r="I12" i="26"/>
  <c r="I24" i="26"/>
  <c r="H26" i="10"/>
  <c r="J24" i="30" s="1"/>
  <c r="K61" i="20"/>
  <c r="M61" i="20"/>
  <c r="T61" i="20"/>
  <c r="P61" i="20"/>
  <c r="U61" i="20"/>
  <c r="Q61" i="20"/>
  <c r="X61" i="20"/>
  <c r="R61" i="20"/>
  <c r="O61" i="20"/>
  <c r="S61" i="20"/>
  <c r="N61" i="20"/>
  <c r="W61" i="20"/>
  <c r="L61" i="20"/>
  <c r="V61" i="20"/>
  <c r="Y61" i="20"/>
  <c r="H35" i="26" l="1"/>
  <c r="J16" i="26"/>
  <c r="H54" i="10"/>
  <c r="J14" i="26" s="1"/>
  <c r="J15" i="30"/>
  <c r="J28" i="30"/>
  <c r="J28" i="26"/>
  <c r="J16" i="30"/>
  <c r="I26" i="26"/>
  <c r="I26" i="30"/>
  <c r="I60" i="10"/>
  <c r="K15" i="30" s="1"/>
  <c r="I27" i="30"/>
  <c r="I27" i="26"/>
  <c r="I29" i="26"/>
  <c r="G71" i="26"/>
  <c r="G70" i="26" s="1"/>
  <c r="G18" i="26" s="1"/>
  <c r="J30" i="30"/>
  <c r="J30" i="26"/>
  <c r="I13" i="10"/>
  <c r="I29" i="30"/>
  <c r="J12" i="30"/>
  <c r="J13" i="30"/>
  <c r="J11" i="30"/>
  <c r="H42" i="10"/>
  <c r="J57" i="10" s="1"/>
  <c r="H79" i="30"/>
  <c r="G77" i="30"/>
  <c r="G18" i="30" s="1"/>
  <c r="H10" i="26"/>
  <c r="H35" i="30" s="1"/>
  <c r="G90" i="20"/>
  <c r="H38" i="10"/>
  <c r="I51" i="10" s="1"/>
  <c r="H72" i="26"/>
  <c r="F17" i="30"/>
  <c r="F20" i="30" s="1"/>
  <c r="AA90" i="20"/>
  <c r="F17" i="26"/>
  <c r="F20" i="26" s="1"/>
  <c r="H10" i="30"/>
  <c r="H78" i="30" s="1"/>
  <c r="G55" i="26"/>
  <c r="G58" i="30"/>
  <c r="G19" i="26"/>
  <c r="H90" i="20"/>
  <c r="G19" i="30"/>
  <c r="I90" i="20"/>
  <c r="Z90" i="20"/>
  <c r="S90" i="20"/>
  <c r="L90" i="20"/>
  <c r="V90" i="20"/>
  <c r="O90" i="20"/>
  <c r="M90" i="20"/>
  <c r="Q90" i="20"/>
  <c r="K90" i="20"/>
  <c r="R90" i="20"/>
  <c r="N90" i="20"/>
  <c r="Y90" i="20"/>
  <c r="T90" i="20"/>
  <c r="W90" i="20"/>
  <c r="J90" i="20"/>
  <c r="P90" i="20"/>
  <c r="J11" i="26"/>
  <c r="J23" i="26"/>
  <c r="I22" i="10"/>
  <c r="K23" i="30" s="1"/>
  <c r="X90" i="20"/>
  <c r="U90" i="20"/>
  <c r="J12" i="26"/>
  <c r="J24" i="26"/>
  <c r="I26" i="10"/>
  <c r="K24" i="30" s="1"/>
  <c r="I46" i="10"/>
  <c r="I63" i="10" s="1"/>
  <c r="I66" i="10" s="1"/>
  <c r="J25" i="26"/>
  <c r="J13" i="26"/>
  <c r="I30" i="10"/>
  <c r="K25" i="30" s="1"/>
  <c r="J14" i="30" l="1"/>
  <c r="K16" i="26"/>
  <c r="K16" i="30"/>
  <c r="I54" i="10"/>
  <c r="I35" i="26"/>
  <c r="K15" i="26"/>
  <c r="J27" i="30"/>
  <c r="J27" i="26"/>
  <c r="K28" i="30"/>
  <c r="K28" i="26"/>
  <c r="J26" i="26"/>
  <c r="J26" i="30"/>
  <c r="K14" i="26"/>
  <c r="K14" i="30"/>
  <c r="J60" i="10"/>
  <c r="H19" i="26"/>
  <c r="K30" i="30"/>
  <c r="K30" i="26"/>
  <c r="J13" i="10"/>
  <c r="J29" i="26"/>
  <c r="J29" i="30"/>
  <c r="F43" i="26"/>
  <c r="F38" i="26"/>
  <c r="I42" i="10"/>
  <c r="K57" i="10" s="1"/>
  <c r="K13" i="30"/>
  <c r="K12" i="30"/>
  <c r="K11" i="30"/>
  <c r="I79" i="30"/>
  <c r="I72" i="26"/>
  <c r="H77" i="30"/>
  <c r="H18" i="30" s="1"/>
  <c r="G17" i="30"/>
  <c r="G20" i="30" s="1"/>
  <c r="H55" i="26"/>
  <c r="H71" i="26"/>
  <c r="H70" i="26" s="1"/>
  <c r="H18" i="26" s="1"/>
  <c r="G17" i="26"/>
  <c r="G20" i="26" s="1"/>
  <c r="I38" i="10"/>
  <c r="I10" i="30"/>
  <c r="I58" i="30" s="1"/>
  <c r="H19" i="30"/>
  <c r="H58" i="30"/>
  <c r="I10" i="26"/>
  <c r="I35" i="30" s="1"/>
  <c r="C90" i="20"/>
  <c r="K24" i="26"/>
  <c r="K12" i="26"/>
  <c r="J26" i="10"/>
  <c r="L24" i="30" s="1"/>
  <c r="K23" i="26"/>
  <c r="K11" i="26"/>
  <c r="J22" i="10"/>
  <c r="L23" i="30" s="1"/>
  <c r="J46" i="10"/>
  <c r="J62" i="10" s="1"/>
  <c r="K13" i="26"/>
  <c r="K25" i="26"/>
  <c r="J30" i="10"/>
  <c r="L25" i="30" s="1"/>
  <c r="J51" i="10" l="1"/>
  <c r="J54" i="10" s="1"/>
  <c r="J63" i="10"/>
  <c r="J66" i="10" s="1"/>
  <c r="J35" i="26"/>
  <c r="K26" i="26"/>
  <c r="K26" i="30"/>
  <c r="K27" i="30"/>
  <c r="K27" i="26"/>
  <c r="L28" i="30"/>
  <c r="L28" i="26"/>
  <c r="H17" i="26"/>
  <c r="H20" i="26" s="1"/>
  <c r="L15" i="26"/>
  <c r="L15" i="30"/>
  <c r="K60" i="10"/>
  <c r="K29" i="30"/>
  <c r="I71" i="26"/>
  <c r="I70" i="26" s="1"/>
  <c r="I18" i="26" s="1"/>
  <c r="L30" i="30"/>
  <c r="K13" i="10"/>
  <c r="L30" i="26"/>
  <c r="K29" i="26"/>
  <c r="J42" i="10"/>
  <c r="L57" i="10" s="1"/>
  <c r="L11" i="30"/>
  <c r="L13" i="30"/>
  <c r="L12" i="30"/>
  <c r="J10" i="30"/>
  <c r="J19" i="30" s="1"/>
  <c r="J10" i="26"/>
  <c r="J35" i="30" s="1"/>
  <c r="J72" i="26"/>
  <c r="J79" i="30"/>
  <c r="H17" i="30"/>
  <c r="H20" i="30" s="1"/>
  <c r="I19" i="30"/>
  <c r="J38" i="10"/>
  <c r="K51" i="10" s="1"/>
  <c r="I78" i="30"/>
  <c r="I77" i="30" s="1"/>
  <c r="I18" i="30" s="1"/>
  <c r="I19" i="26"/>
  <c r="I55" i="26"/>
  <c r="K46" i="10"/>
  <c r="K62" i="10" s="1"/>
  <c r="L13" i="26"/>
  <c r="L25" i="26"/>
  <c r="K30" i="10"/>
  <c r="M25" i="30" s="1"/>
  <c r="L23" i="26"/>
  <c r="L11" i="26"/>
  <c r="K22" i="10"/>
  <c r="M23" i="30" s="1"/>
  <c r="L24" i="26"/>
  <c r="L12" i="26"/>
  <c r="K26" i="10"/>
  <c r="M24" i="30" s="1"/>
  <c r="L14" i="26" l="1"/>
  <c r="L14" i="30"/>
  <c r="K63" i="10"/>
  <c r="K66" i="10" s="1"/>
  <c r="K54" i="10"/>
  <c r="K35" i="26"/>
  <c r="L27" i="26"/>
  <c r="L27" i="30"/>
  <c r="M28" i="30"/>
  <c r="M28" i="26"/>
  <c r="L26" i="26"/>
  <c r="L26" i="30"/>
  <c r="M14" i="26"/>
  <c r="M14" i="30"/>
  <c r="M15" i="26"/>
  <c r="M15" i="30"/>
  <c r="L60" i="10"/>
  <c r="K42" i="10"/>
  <c r="M57" i="10" s="1"/>
  <c r="J71" i="26"/>
  <c r="J70" i="26" s="1"/>
  <c r="J18" i="26" s="1"/>
  <c r="L29" i="30"/>
  <c r="M30" i="30"/>
  <c r="M30" i="26"/>
  <c r="L13" i="10"/>
  <c r="J78" i="30"/>
  <c r="J77" i="30" s="1"/>
  <c r="J18" i="30" s="1"/>
  <c r="J17" i="30" s="1"/>
  <c r="J20" i="30" s="1"/>
  <c r="J58" i="30"/>
  <c r="L29" i="26"/>
  <c r="K10" i="26"/>
  <c r="M12" i="30"/>
  <c r="M13" i="30"/>
  <c r="M11" i="30"/>
  <c r="J55" i="26"/>
  <c r="J19" i="26"/>
  <c r="K38" i="10"/>
  <c r="L51" i="10" s="1"/>
  <c r="K10" i="30"/>
  <c r="K19" i="30" s="1"/>
  <c r="K72" i="26"/>
  <c r="K79" i="30"/>
  <c r="I17" i="26"/>
  <c r="I20" i="26" s="1"/>
  <c r="I17" i="30"/>
  <c r="I20" i="30" s="1"/>
  <c r="M11" i="26"/>
  <c r="M23" i="26"/>
  <c r="L22" i="10"/>
  <c r="N23" i="30" s="1"/>
  <c r="L46" i="10"/>
  <c r="M24" i="26"/>
  <c r="M12" i="26"/>
  <c r="L26" i="10"/>
  <c r="N24" i="30" s="1"/>
  <c r="M13" i="26"/>
  <c r="L30" i="10"/>
  <c r="N25" i="30" s="1"/>
  <c r="M25" i="26"/>
  <c r="L16" i="26" l="1"/>
  <c r="L10" i="26" s="1"/>
  <c r="L35" i="30" s="1"/>
  <c r="L16" i="30"/>
  <c r="L62" i="10"/>
  <c r="N28" i="26" s="1"/>
  <c r="L35" i="26"/>
  <c r="L54" i="10"/>
  <c r="M60" i="10"/>
  <c r="O15" i="26" s="1"/>
  <c r="M27" i="26"/>
  <c r="M27" i="30"/>
  <c r="M26" i="30"/>
  <c r="M26" i="26"/>
  <c r="K55" i="26"/>
  <c r="K35" i="30"/>
  <c r="L42" i="10"/>
  <c r="N15" i="26"/>
  <c r="N15" i="30"/>
  <c r="M29" i="30"/>
  <c r="K19" i="26"/>
  <c r="K71" i="26"/>
  <c r="K70" i="26" s="1"/>
  <c r="K18" i="26" s="1"/>
  <c r="N30" i="30"/>
  <c r="N30" i="26"/>
  <c r="M13" i="10"/>
  <c r="N13" i="10" s="1"/>
  <c r="O13" i="10" s="1"/>
  <c r="P13" i="10" s="1"/>
  <c r="Q13" i="10" s="1"/>
  <c r="R13" i="10" s="1"/>
  <c r="S13" i="10" s="1"/>
  <c r="T13" i="10" s="1"/>
  <c r="U13" i="10" s="1"/>
  <c r="V13" i="10" s="1"/>
  <c r="W13" i="10" s="1"/>
  <c r="X13" i="10" s="1"/>
  <c r="Y13" i="10" s="1"/>
  <c r="Z13" i="10" s="1"/>
  <c r="AA13" i="10" s="1"/>
  <c r="AB13" i="10" s="1"/>
  <c r="AC13" i="10" s="1"/>
  <c r="AD13" i="10" s="1"/>
  <c r="AE13" i="10" s="1"/>
  <c r="AF13" i="10" s="1"/>
  <c r="AG13" i="10" s="1"/>
  <c r="AH13" i="10" s="1"/>
  <c r="AI13" i="10" s="1"/>
  <c r="AJ13" i="10" s="1"/>
  <c r="AK13" i="10" s="1"/>
  <c r="J17" i="26"/>
  <c r="J20" i="26" s="1"/>
  <c r="L79" i="30"/>
  <c r="M29" i="26"/>
  <c r="N13" i="30"/>
  <c r="N12" i="30"/>
  <c r="N11" i="30"/>
  <c r="K58" i="30"/>
  <c r="L38" i="10"/>
  <c r="K78" i="30"/>
  <c r="K77" i="30" s="1"/>
  <c r="K18" i="30" s="1"/>
  <c r="K17" i="30" s="1"/>
  <c r="K20" i="30" s="1"/>
  <c r="L10" i="30"/>
  <c r="L78" i="30" s="1"/>
  <c r="L72" i="26"/>
  <c r="N13" i="26"/>
  <c r="N25" i="26"/>
  <c r="M30" i="10"/>
  <c r="M46" i="10"/>
  <c r="M63" i="10" s="1"/>
  <c r="M66" i="10" s="1"/>
  <c r="N24" i="26"/>
  <c r="N12" i="26"/>
  <c r="M26" i="10"/>
  <c r="N11" i="26"/>
  <c r="N23" i="26"/>
  <c r="M22" i="10"/>
  <c r="N28" i="30" l="1"/>
  <c r="M51" i="10"/>
  <c r="M54" i="10" s="1"/>
  <c r="M42" i="10"/>
  <c r="O57" i="10" s="1"/>
  <c r="N57" i="10"/>
  <c r="N60" i="10" s="1"/>
  <c r="L63" i="10"/>
  <c r="L66" i="10" s="1"/>
  <c r="M35" i="26"/>
  <c r="O16" i="26"/>
  <c r="O16" i="30"/>
  <c r="N14" i="26"/>
  <c r="N14" i="30"/>
  <c r="M16" i="26"/>
  <c r="M10" i="26" s="1"/>
  <c r="M35" i="30" s="1"/>
  <c r="M16" i="30"/>
  <c r="M10" i="30" s="1"/>
  <c r="M58" i="30" s="1"/>
  <c r="O15" i="30"/>
  <c r="M79" i="30"/>
  <c r="N26" i="30"/>
  <c r="N26" i="26"/>
  <c r="N27" i="26"/>
  <c r="N27" i="30"/>
  <c r="O28" i="30"/>
  <c r="O28" i="26"/>
  <c r="N30" i="10"/>
  <c r="O25" i="30"/>
  <c r="N26" i="10"/>
  <c r="O24" i="30"/>
  <c r="O27" i="30"/>
  <c r="N22" i="10"/>
  <c r="O23" i="30"/>
  <c r="K17" i="26"/>
  <c r="K20" i="26" s="1"/>
  <c r="N46" i="10"/>
  <c r="N63" i="10" s="1"/>
  <c r="N66" i="10" s="1"/>
  <c r="N42" i="10"/>
  <c r="P57" i="10" s="1"/>
  <c r="O60" i="10"/>
  <c r="N29" i="26"/>
  <c r="L55" i="26"/>
  <c r="M38" i="10"/>
  <c r="L77" i="30"/>
  <c r="L18" i="30" s="1"/>
  <c r="O30" i="30"/>
  <c r="P30" i="30" s="1"/>
  <c r="Q30" i="30" s="1"/>
  <c r="R30" i="30" s="1"/>
  <c r="S30" i="30" s="1"/>
  <c r="T30" i="30" s="1"/>
  <c r="U30" i="30" s="1"/>
  <c r="V30" i="30" s="1"/>
  <c r="W30" i="30" s="1"/>
  <c r="X30" i="30" s="1"/>
  <c r="Y30" i="30" s="1"/>
  <c r="Z30" i="30" s="1"/>
  <c r="AA30" i="30" s="1"/>
  <c r="AB30" i="30" s="1"/>
  <c r="AC30" i="30" s="1"/>
  <c r="AD30" i="30" s="1"/>
  <c r="AE30" i="30" s="1"/>
  <c r="AF30" i="30" s="1"/>
  <c r="AG30" i="30" s="1"/>
  <c r="AH30" i="30" s="1"/>
  <c r="AI30" i="30" s="1"/>
  <c r="AJ30" i="30" s="1"/>
  <c r="AK30" i="30" s="1"/>
  <c r="AL30" i="30" s="1"/>
  <c r="AM30" i="30" s="1"/>
  <c r="O30" i="26"/>
  <c r="P30" i="26" s="1"/>
  <c r="Q30" i="26" s="1"/>
  <c r="R30" i="26" s="1"/>
  <c r="S30" i="26" s="1"/>
  <c r="T30" i="26" s="1"/>
  <c r="U30" i="26" s="1"/>
  <c r="V30" i="26" s="1"/>
  <c r="W30" i="26" s="1"/>
  <c r="X30" i="26" s="1"/>
  <c r="Y30" i="26" s="1"/>
  <c r="Z30" i="26" s="1"/>
  <c r="AA30" i="26" s="1"/>
  <c r="AB30" i="26" s="1"/>
  <c r="AC30" i="26" s="1"/>
  <c r="AD30" i="26" s="1"/>
  <c r="AE30" i="26" s="1"/>
  <c r="AF30" i="26" s="1"/>
  <c r="AG30" i="26" s="1"/>
  <c r="AH30" i="26" s="1"/>
  <c r="AI30" i="26" s="1"/>
  <c r="AJ30" i="26" s="1"/>
  <c r="AK30" i="26" s="1"/>
  <c r="AL30" i="26" s="1"/>
  <c r="AM30" i="26" s="1"/>
  <c r="C30" i="26" s="1"/>
  <c r="N29" i="30"/>
  <c r="O11" i="30"/>
  <c r="P11" i="30" s="1"/>
  <c r="Q11" i="30" s="1"/>
  <c r="R11" i="30" s="1"/>
  <c r="S11" i="30" s="1"/>
  <c r="T11" i="30" s="1"/>
  <c r="U11" i="30" s="1"/>
  <c r="V11" i="30" s="1"/>
  <c r="W11" i="30" s="1"/>
  <c r="X11" i="30" s="1"/>
  <c r="Y11" i="30" s="1"/>
  <c r="Z11" i="30" s="1"/>
  <c r="AA11" i="30" s="1"/>
  <c r="AB11" i="30" s="1"/>
  <c r="AC11" i="30" s="1"/>
  <c r="AD11" i="30" s="1"/>
  <c r="AE11" i="30" s="1"/>
  <c r="AF11" i="30" s="1"/>
  <c r="AG11" i="30" s="1"/>
  <c r="AH11" i="30" s="1"/>
  <c r="AI11" i="30" s="1"/>
  <c r="AJ11" i="30" s="1"/>
  <c r="AK11" i="30" s="1"/>
  <c r="AL11" i="30" s="1"/>
  <c r="AM11" i="30" s="1"/>
  <c r="O12" i="30"/>
  <c r="P12" i="30" s="1"/>
  <c r="Q12" i="30" s="1"/>
  <c r="R12" i="30" s="1"/>
  <c r="S12" i="30" s="1"/>
  <c r="T12" i="30" s="1"/>
  <c r="U12" i="30" s="1"/>
  <c r="V12" i="30" s="1"/>
  <c r="W12" i="30" s="1"/>
  <c r="X12" i="30" s="1"/>
  <c r="Y12" i="30" s="1"/>
  <c r="Z12" i="30" s="1"/>
  <c r="AA12" i="30" s="1"/>
  <c r="AB12" i="30" s="1"/>
  <c r="AC12" i="30" s="1"/>
  <c r="AD12" i="30" s="1"/>
  <c r="AE12" i="30" s="1"/>
  <c r="AF12" i="30" s="1"/>
  <c r="AG12" i="30" s="1"/>
  <c r="AH12" i="30" s="1"/>
  <c r="AI12" i="30" s="1"/>
  <c r="AJ12" i="30" s="1"/>
  <c r="AK12" i="30" s="1"/>
  <c r="AL12" i="30" s="1"/>
  <c r="AM12" i="30" s="1"/>
  <c r="O13" i="30"/>
  <c r="P13" i="30" s="1"/>
  <c r="Q13" i="30" s="1"/>
  <c r="R13" i="30" s="1"/>
  <c r="S13" i="30" s="1"/>
  <c r="T13" i="30" s="1"/>
  <c r="U13" i="30" s="1"/>
  <c r="V13" i="30" s="1"/>
  <c r="W13" i="30" s="1"/>
  <c r="X13" i="30" s="1"/>
  <c r="Y13" i="30" s="1"/>
  <c r="Z13" i="30" s="1"/>
  <c r="AA13" i="30" s="1"/>
  <c r="AB13" i="30" s="1"/>
  <c r="AC13" i="30" s="1"/>
  <c r="AD13" i="30" s="1"/>
  <c r="AE13" i="30" s="1"/>
  <c r="AF13" i="30" s="1"/>
  <c r="AG13" i="30" s="1"/>
  <c r="AH13" i="30" s="1"/>
  <c r="AI13" i="30" s="1"/>
  <c r="AJ13" i="30" s="1"/>
  <c r="AK13" i="30" s="1"/>
  <c r="AL13" i="30" s="1"/>
  <c r="AM13" i="30" s="1"/>
  <c r="L58" i="30"/>
  <c r="L19" i="30"/>
  <c r="M72" i="26"/>
  <c r="L71" i="26"/>
  <c r="L70" i="26" s="1"/>
  <c r="L18" i="26" s="1"/>
  <c r="L19" i="26"/>
  <c r="O13" i="26"/>
  <c r="O25" i="26"/>
  <c r="O24" i="26"/>
  <c r="O12" i="26"/>
  <c r="O11" i="26"/>
  <c r="O23" i="26"/>
  <c r="O27" i="26" l="1"/>
  <c r="O14" i="30"/>
  <c r="O14" i="26"/>
  <c r="N51" i="10"/>
  <c r="N54" i="10" s="1"/>
  <c r="N16" i="30"/>
  <c r="N10" i="30" s="1"/>
  <c r="N58" i="30" s="1"/>
  <c r="N16" i="26"/>
  <c r="N79" i="30"/>
  <c r="N35" i="26"/>
  <c r="N72" i="26"/>
  <c r="O22" i="10"/>
  <c r="P11" i="26"/>
  <c r="P23" i="26"/>
  <c r="P23" i="30"/>
  <c r="P27" i="30"/>
  <c r="P27" i="26"/>
  <c r="P28" i="30"/>
  <c r="P28" i="26"/>
  <c r="O29" i="30"/>
  <c r="P29" i="30" s="1"/>
  <c r="Q29" i="30" s="1"/>
  <c r="R29" i="30" s="1"/>
  <c r="S29" i="30" s="1"/>
  <c r="T29" i="30" s="1"/>
  <c r="U29" i="30" s="1"/>
  <c r="V29" i="30" s="1"/>
  <c r="W29" i="30" s="1"/>
  <c r="X29" i="30" s="1"/>
  <c r="Y29" i="30" s="1"/>
  <c r="Z29" i="30" s="1"/>
  <c r="AA29" i="30" s="1"/>
  <c r="AB29" i="30" s="1"/>
  <c r="AC29" i="30" s="1"/>
  <c r="AD29" i="30" s="1"/>
  <c r="AE29" i="30" s="1"/>
  <c r="AF29" i="30" s="1"/>
  <c r="AG29" i="30" s="1"/>
  <c r="AH29" i="30" s="1"/>
  <c r="AI29" i="30" s="1"/>
  <c r="AJ29" i="30" s="1"/>
  <c r="AK29" i="30" s="1"/>
  <c r="AL29" i="30" s="1"/>
  <c r="AM29" i="30" s="1"/>
  <c r="O26" i="30"/>
  <c r="O79" i="30" s="1"/>
  <c r="O26" i="26"/>
  <c r="O26" i="10"/>
  <c r="P12" i="26"/>
  <c r="P24" i="26"/>
  <c r="P24" i="30"/>
  <c r="P15" i="26"/>
  <c r="P15" i="30"/>
  <c r="O30" i="10"/>
  <c r="P13" i="26"/>
  <c r="P25" i="26"/>
  <c r="P25" i="30"/>
  <c r="Q15" i="26"/>
  <c r="Q15" i="30"/>
  <c r="P16" i="26"/>
  <c r="P16" i="30"/>
  <c r="O42" i="10"/>
  <c r="Q57" i="10" s="1"/>
  <c r="P60" i="10"/>
  <c r="O46" i="10"/>
  <c r="O63" i="10" s="1"/>
  <c r="O66" i="10" s="1"/>
  <c r="N38" i="10"/>
  <c r="O29" i="26"/>
  <c r="P29" i="26" s="1"/>
  <c r="Q29" i="26" s="1"/>
  <c r="R29" i="26" s="1"/>
  <c r="S29" i="26" s="1"/>
  <c r="T29" i="26" s="1"/>
  <c r="U29" i="26" s="1"/>
  <c r="V29" i="26" s="1"/>
  <c r="W29" i="26" s="1"/>
  <c r="X29" i="26" s="1"/>
  <c r="Y29" i="26" s="1"/>
  <c r="Z29" i="26" s="1"/>
  <c r="AA29" i="26" s="1"/>
  <c r="AB29" i="26" s="1"/>
  <c r="AC29" i="26" s="1"/>
  <c r="AD29" i="26" s="1"/>
  <c r="AE29" i="26" s="1"/>
  <c r="AF29" i="26" s="1"/>
  <c r="AG29" i="26" s="1"/>
  <c r="AH29" i="26" s="1"/>
  <c r="AI29" i="26" s="1"/>
  <c r="AJ29" i="26" s="1"/>
  <c r="AK29" i="26" s="1"/>
  <c r="AL29" i="26" s="1"/>
  <c r="AM29" i="26" s="1"/>
  <c r="C30" i="30"/>
  <c r="M19" i="26"/>
  <c r="L17" i="30"/>
  <c r="L20" i="30" s="1"/>
  <c r="C11" i="30"/>
  <c r="C13" i="30"/>
  <c r="C12" i="30"/>
  <c r="M71" i="26"/>
  <c r="M70" i="26" s="1"/>
  <c r="M18" i="26" s="1"/>
  <c r="M55" i="26"/>
  <c r="M19" i="30"/>
  <c r="L17" i="26"/>
  <c r="L20" i="26" s="1"/>
  <c r="M78" i="30"/>
  <c r="M77" i="30" s="1"/>
  <c r="M18" i="30" s="1"/>
  <c r="N10" i="26"/>
  <c r="N35" i="30" s="1"/>
  <c r="O72" i="26" l="1"/>
  <c r="P14" i="26"/>
  <c r="P14" i="30"/>
  <c r="O51" i="10"/>
  <c r="O54" i="10" s="1"/>
  <c r="O35" i="26"/>
  <c r="Q28" i="30"/>
  <c r="Q28" i="26"/>
  <c r="Q27" i="30"/>
  <c r="Q27" i="26"/>
  <c r="P22" i="10"/>
  <c r="Q11" i="26"/>
  <c r="Q23" i="30"/>
  <c r="Q23" i="26"/>
  <c r="C29" i="30"/>
  <c r="P26" i="26"/>
  <c r="P35" i="26" s="1"/>
  <c r="P26" i="30"/>
  <c r="P79" i="30" s="1"/>
  <c r="P26" i="10"/>
  <c r="Q12" i="26"/>
  <c r="Q24" i="30"/>
  <c r="Q24" i="26"/>
  <c r="P30" i="10"/>
  <c r="Q25" i="26"/>
  <c r="Q25" i="30"/>
  <c r="Q13" i="26"/>
  <c r="Q16" i="26"/>
  <c r="Q16" i="30"/>
  <c r="R15" i="26"/>
  <c r="R15" i="30"/>
  <c r="P46" i="10"/>
  <c r="P63" i="10" s="1"/>
  <c r="P66" i="10" s="1"/>
  <c r="P42" i="10"/>
  <c r="R57" i="10" s="1"/>
  <c r="Q60" i="10"/>
  <c r="M17" i="26"/>
  <c r="M20" i="26" s="1"/>
  <c r="O38" i="10"/>
  <c r="N55" i="26"/>
  <c r="C29" i="26"/>
  <c r="O10" i="30"/>
  <c r="O19" i="30" s="1"/>
  <c r="M17" i="30"/>
  <c r="M20" i="30" s="1"/>
  <c r="N71" i="26"/>
  <c r="N70" i="26" s="1"/>
  <c r="N18" i="26" s="1"/>
  <c r="N78" i="30"/>
  <c r="N77" i="30" s="1"/>
  <c r="N18" i="30" s="1"/>
  <c r="N19" i="30"/>
  <c r="N19" i="26"/>
  <c r="O10" i="26"/>
  <c r="O35" i="30" s="1"/>
  <c r="P10" i="26"/>
  <c r="Q14" i="26" l="1"/>
  <c r="Q14" i="30"/>
  <c r="P51" i="10"/>
  <c r="P54" i="10" s="1"/>
  <c r="P72" i="26"/>
  <c r="Q26" i="26"/>
  <c r="Q35" i="26" s="1"/>
  <c r="Q26" i="30"/>
  <c r="Q79" i="30" s="1"/>
  <c r="Q30" i="10"/>
  <c r="R13" i="26"/>
  <c r="R25" i="26"/>
  <c r="R25" i="30"/>
  <c r="R27" i="30"/>
  <c r="R27" i="26"/>
  <c r="Q26" i="10"/>
  <c r="R12" i="26"/>
  <c r="R24" i="26"/>
  <c r="R24" i="30"/>
  <c r="Q22" i="10"/>
  <c r="R11" i="26"/>
  <c r="R23" i="30"/>
  <c r="R23" i="26"/>
  <c r="R28" i="30"/>
  <c r="R28" i="26"/>
  <c r="P35" i="30"/>
  <c r="S15" i="26"/>
  <c r="S15" i="30"/>
  <c r="R16" i="26"/>
  <c r="R16" i="30"/>
  <c r="Q42" i="10"/>
  <c r="S57" i="10" s="1"/>
  <c r="R60" i="10"/>
  <c r="Q46" i="10"/>
  <c r="Q63" i="10" s="1"/>
  <c r="Q66" i="10" s="1"/>
  <c r="P38" i="10"/>
  <c r="O71" i="26"/>
  <c r="O70" i="26" s="1"/>
  <c r="O18" i="26" s="1"/>
  <c r="O78" i="30"/>
  <c r="O77" i="30" s="1"/>
  <c r="O18" i="30" s="1"/>
  <c r="O17" i="30" s="1"/>
  <c r="O20" i="30" s="1"/>
  <c r="P10" i="30"/>
  <c r="P58" i="30" s="1"/>
  <c r="O58" i="30"/>
  <c r="N17" i="26"/>
  <c r="N20" i="26" s="1"/>
  <c r="N17" i="30"/>
  <c r="N20" i="30" s="1"/>
  <c r="O19" i="26"/>
  <c r="O55" i="26"/>
  <c r="Q10" i="26"/>
  <c r="Q10" i="30"/>
  <c r="P19" i="26"/>
  <c r="P55" i="26"/>
  <c r="P71" i="26"/>
  <c r="P70" i="26" s="1"/>
  <c r="P18" i="26" s="1"/>
  <c r="Q72" i="26" l="1"/>
  <c r="R14" i="26"/>
  <c r="R10" i="26" s="1"/>
  <c r="R14" i="30"/>
  <c r="Q51" i="10"/>
  <c r="Q54" i="10" s="1"/>
  <c r="R30" i="10"/>
  <c r="S25" i="26"/>
  <c r="S25" i="30"/>
  <c r="S13" i="26"/>
  <c r="R26" i="26"/>
  <c r="R35" i="26" s="1"/>
  <c r="R26" i="30"/>
  <c r="R79" i="30" s="1"/>
  <c r="R22" i="10"/>
  <c r="S11" i="26"/>
  <c r="S23" i="30"/>
  <c r="S23" i="26"/>
  <c r="R26" i="10"/>
  <c r="S12" i="26"/>
  <c r="S24" i="30"/>
  <c r="S24" i="26"/>
  <c r="S28" i="26"/>
  <c r="S28" i="30"/>
  <c r="S27" i="26"/>
  <c r="S27" i="30"/>
  <c r="Q35" i="30"/>
  <c r="S16" i="26"/>
  <c r="S16" i="30"/>
  <c r="T15" i="26"/>
  <c r="T15" i="30"/>
  <c r="R46" i="10"/>
  <c r="R63" i="10" s="1"/>
  <c r="R66" i="10" s="1"/>
  <c r="R42" i="10"/>
  <c r="T57" i="10" s="1"/>
  <c r="S60" i="10"/>
  <c r="O17" i="26"/>
  <c r="O20" i="26" s="1"/>
  <c r="Q38" i="10"/>
  <c r="P19" i="30"/>
  <c r="P78" i="30"/>
  <c r="P77" i="30" s="1"/>
  <c r="P18" i="30" s="1"/>
  <c r="P17" i="26"/>
  <c r="P20" i="26" s="1"/>
  <c r="R10" i="30"/>
  <c r="Q58" i="30"/>
  <c r="Q78" i="30"/>
  <c r="Q77" i="30" s="1"/>
  <c r="Q18" i="30" s="1"/>
  <c r="Q19" i="30"/>
  <c r="Q19" i="26"/>
  <c r="Q55" i="26"/>
  <c r="Q71" i="26"/>
  <c r="Q70" i="26" s="1"/>
  <c r="Q18" i="26" s="1"/>
  <c r="S14" i="30" l="1"/>
  <c r="S14" i="26"/>
  <c r="S10" i="26" s="1"/>
  <c r="R51" i="10"/>
  <c r="R54" i="10" s="1"/>
  <c r="R72" i="26"/>
  <c r="S22" i="10"/>
  <c r="T11" i="26"/>
  <c r="T23" i="30"/>
  <c r="T23" i="26"/>
  <c r="S30" i="10"/>
  <c r="T25" i="30"/>
  <c r="T25" i="26"/>
  <c r="T13" i="26"/>
  <c r="S26" i="26"/>
  <c r="S35" i="26" s="1"/>
  <c r="S26" i="30"/>
  <c r="S79" i="30" s="1"/>
  <c r="T27" i="26"/>
  <c r="T27" i="30"/>
  <c r="S26" i="10"/>
  <c r="T12" i="26"/>
  <c r="T24" i="30"/>
  <c r="T24" i="26"/>
  <c r="T28" i="26"/>
  <c r="T28" i="30"/>
  <c r="R35" i="30"/>
  <c r="U15" i="26"/>
  <c r="U15" i="30"/>
  <c r="T16" i="26"/>
  <c r="T16" i="30"/>
  <c r="P17" i="30"/>
  <c r="P20" i="30" s="1"/>
  <c r="S42" i="10"/>
  <c r="T60" i="10"/>
  <c r="S46" i="10"/>
  <c r="S63" i="10" s="1"/>
  <c r="S66" i="10" s="1"/>
  <c r="R38" i="10"/>
  <c r="Q17" i="26"/>
  <c r="Q20" i="26" s="1"/>
  <c r="Q17" i="30"/>
  <c r="Q20" i="30" s="1"/>
  <c r="S72" i="26"/>
  <c r="S10" i="30"/>
  <c r="R55" i="26"/>
  <c r="R19" i="26"/>
  <c r="R71" i="26"/>
  <c r="R19" i="30"/>
  <c r="R78" i="30"/>
  <c r="R77" i="30" s="1"/>
  <c r="R18" i="30" s="1"/>
  <c r="R58" i="30"/>
  <c r="T14" i="26" l="1"/>
  <c r="T10" i="26" s="1"/>
  <c r="T14" i="30"/>
  <c r="S51" i="10"/>
  <c r="S54" i="10" s="1"/>
  <c r="R70" i="26"/>
  <c r="R18" i="26" s="1"/>
  <c r="R17" i="26" s="1"/>
  <c r="R20" i="26" s="1"/>
  <c r="U27" i="26"/>
  <c r="U27" i="30"/>
  <c r="T30" i="10"/>
  <c r="U13" i="26"/>
  <c r="U25" i="30"/>
  <c r="U25" i="26"/>
  <c r="T26" i="26"/>
  <c r="T72" i="26" s="1"/>
  <c r="T26" i="30"/>
  <c r="T79" i="30" s="1"/>
  <c r="T22" i="10"/>
  <c r="U11" i="26"/>
  <c r="U23" i="26"/>
  <c r="U23" i="30"/>
  <c r="U28" i="26"/>
  <c r="U28" i="30"/>
  <c r="T26" i="10"/>
  <c r="U12" i="26"/>
  <c r="U24" i="26"/>
  <c r="U24" i="30"/>
  <c r="S35" i="30"/>
  <c r="U16" i="26"/>
  <c r="U16" i="30"/>
  <c r="V15" i="26"/>
  <c r="V15" i="30"/>
  <c r="T46" i="10"/>
  <c r="T42" i="10"/>
  <c r="V57" i="10" s="1"/>
  <c r="S38" i="10"/>
  <c r="R17" i="30"/>
  <c r="R20" i="30" s="1"/>
  <c r="T10" i="30"/>
  <c r="S19" i="26"/>
  <c r="S55" i="26"/>
  <c r="S71" i="26"/>
  <c r="S70" i="26" s="1"/>
  <c r="S18" i="26" s="1"/>
  <c r="S58" i="30"/>
  <c r="S19" i="30"/>
  <c r="S78" i="30"/>
  <c r="S77" i="30" s="1"/>
  <c r="S18" i="30" s="1"/>
  <c r="U14" i="26" l="1"/>
  <c r="U14" i="30"/>
  <c r="T62" i="10"/>
  <c r="T63" i="10" s="1"/>
  <c r="T66" i="10" s="1"/>
  <c r="V16" i="26" s="1"/>
  <c r="T35" i="26"/>
  <c r="V27" i="26"/>
  <c r="V27" i="30"/>
  <c r="U22" i="10"/>
  <c r="V11" i="26"/>
  <c r="V23" i="26"/>
  <c r="V23" i="30"/>
  <c r="U26" i="10"/>
  <c r="V12" i="26"/>
  <c r="V24" i="30"/>
  <c r="V24" i="26"/>
  <c r="U30" i="10"/>
  <c r="V25" i="30"/>
  <c r="V25" i="26"/>
  <c r="V13" i="26"/>
  <c r="V28" i="26"/>
  <c r="V28" i="30"/>
  <c r="U26" i="26"/>
  <c r="U72" i="26" s="1"/>
  <c r="U26" i="30"/>
  <c r="U79" i="30" s="1"/>
  <c r="T35" i="30"/>
  <c r="U42" i="10"/>
  <c r="W57" i="10" s="1"/>
  <c r="V60" i="10"/>
  <c r="U46" i="10"/>
  <c r="T38" i="10"/>
  <c r="U51" i="10" s="1"/>
  <c r="U54" i="10" s="1"/>
  <c r="S17" i="30"/>
  <c r="S20" i="30" s="1"/>
  <c r="S17" i="26"/>
  <c r="S20" i="26" s="1"/>
  <c r="U10" i="30"/>
  <c r="T55" i="26"/>
  <c r="T19" i="26"/>
  <c r="T71" i="26"/>
  <c r="T70" i="26" s="1"/>
  <c r="T18" i="26" s="1"/>
  <c r="T58" i="30"/>
  <c r="T19" i="30"/>
  <c r="T78" i="30"/>
  <c r="T77" i="30" s="1"/>
  <c r="T18" i="30" s="1"/>
  <c r="U10" i="26"/>
  <c r="V16" i="30" l="1"/>
  <c r="U62" i="10"/>
  <c r="U63" i="10"/>
  <c r="U66" i="10" s="1"/>
  <c r="V30" i="10"/>
  <c r="W25" i="30"/>
  <c r="W25" i="26"/>
  <c r="W13" i="26"/>
  <c r="V22" i="10"/>
  <c r="W11" i="26"/>
  <c r="W23" i="26"/>
  <c r="W23" i="30"/>
  <c r="W28" i="30"/>
  <c r="W28" i="26"/>
  <c r="U35" i="26"/>
  <c r="V26" i="10"/>
  <c r="W12" i="26"/>
  <c r="W24" i="26"/>
  <c r="W24" i="30"/>
  <c r="U35" i="30"/>
  <c r="W14" i="26"/>
  <c r="W14" i="30"/>
  <c r="W16" i="26"/>
  <c r="W16" i="30"/>
  <c r="X15" i="26"/>
  <c r="X15" i="30"/>
  <c r="V46" i="10"/>
  <c r="V42" i="10"/>
  <c r="X57" i="10" s="1"/>
  <c r="U56" i="10"/>
  <c r="W60" i="10"/>
  <c r="U38" i="10"/>
  <c r="T50" i="10"/>
  <c r="T51" i="10" s="1"/>
  <c r="T17" i="26"/>
  <c r="T20" i="26" s="1"/>
  <c r="T17" i="30"/>
  <c r="T20" i="30" s="1"/>
  <c r="U19" i="26"/>
  <c r="U55" i="26"/>
  <c r="U71" i="26"/>
  <c r="U70" i="26" s="1"/>
  <c r="U18" i="26" s="1"/>
  <c r="U58" i="30"/>
  <c r="U19" i="30"/>
  <c r="U78" i="30"/>
  <c r="U77" i="30" s="1"/>
  <c r="U18" i="30" s="1"/>
  <c r="U57" i="10" l="1"/>
  <c r="U60" i="10" s="1"/>
  <c r="V62" i="10"/>
  <c r="V63" i="10"/>
  <c r="V66" i="10" s="1"/>
  <c r="W26" i="10"/>
  <c r="X12" i="26"/>
  <c r="X24" i="26"/>
  <c r="X24" i="30"/>
  <c r="T54" i="10"/>
  <c r="W27" i="26"/>
  <c r="W30" i="10"/>
  <c r="X25" i="26"/>
  <c r="X25" i="30"/>
  <c r="X13" i="26"/>
  <c r="W27" i="30"/>
  <c r="W26" i="30"/>
  <c r="W26" i="26"/>
  <c r="V26" i="26"/>
  <c r="X27" i="30"/>
  <c r="X27" i="26"/>
  <c r="W46" i="10"/>
  <c r="W63" i="10" s="1"/>
  <c r="W66" i="10" s="1"/>
  <c r="X28" i="30"/>
  <c r="X28" i="26"/>
  <c r="V26" i="30"/>
  <c r="V79" i="30" s="1"/>
  <c r="W22" i="10"/>
  <c r="X11" i="26"/>
  <c r="X23" i="30"/>
  <c r="X23" i="26"/>
  <c r="Y15" i="26"/>
  <c r="Y15" i="30"/>
  <c r="W42" i="10"/>
  <c r="X60" i="10"/>
  <c r="V38" i="10"/>
  <c r="U17" i="30"/>
  <c r="U20" i="30" s="1"/>
  <c r="U17" i="26"/>
  <c r="U20" i="26" s="1"/>
  <c r="W15" i="26" l="1"/>
  <c r="W10" i="26" s="1"/>
  <c r="W71" i="26" s="1"/>
  <c r="W15" i="30"/>
  <c r="W10" i="30" s="1"/>
  <c r="W51" i="10"/>
  <c r="W54" i="10" s="1"/>
  <c r="W35" i="26"/>
  <c r="W79" i="30"/>
  <c r="W72" i="26"/>
  <c r="X46" i="10"/>
  <c r="X63" i="10" s="1"/>
  <c r="X66" i="10" s="1"/>
  <c r="Z16" i="26" s="1"/>
  <c r="V14" i="30"/>
  <c r="V10" i="30" s="1"/>
  <c r="W58" i="30" s="1"/>
  <c r="V14" i="26"/>
  <c r="V10" i="26" s="1"/>
  <c r="V35" i="30" s="1"/>
  <c r="Y27" i="30"/>
  <c r="Y27" i="26"/>
  <c r="X26" i="10"/>
  <c r="Y12" i="26"/>
  <c r="Y24" i="26"/>
  <c r="Y24" i="30"/>
  <c r="Y16" i="26"/>
  <c r="X22" i="10"/>
  <c r="Y11" i="26"/>
  <c r="Y23" i="30"/>
  <c r="Y23" i="26"/>
  <c r="V35" i="26"/>
  <c r="V72" i="26"/>
  <c r="X30" i="10"/>
  <c r="Y25" i="26"/>
  <c r="Y25" i="30"/>
  <c r="Y13" i="26"/>
  <c r="Z15" i="26"/>
  <c r="Z15" i="30"/>
  <c r="X42" i="10"/>
  <c r="Z57" i="10" s="1"/>
  <c r="W38" i="10"/>
  <c r="V50" i="10"/>
  <c r="V51" i="10" s="1"/>
  <c r="W19" i="30"/>
  <c r="W78" i="30"/>
  <c r="W77" i="30" s="1"/>
  <c r="W18" i="30" s="1"/>
  <c r="W19" i="26" l="1"/>
  <c r="W70" i="26"/>
  <c r="W18" i="26" s="1"/>
  <c r="W17" i="26" s="1"/>
  <c r="W20" i="26" s="1"/>
  <c r="W35" i="30"/>
  <c r="Z16" i="30"/>
  <c r="Z28" i="30"/>
  <c r="Z28" i="26"/>
  <c r="Y46" i="10"/>
  <c r="Y63" i="10" s="1"/>
  <c r="Y66" i="10" s="1"/>
  <c r="AA16" i="26" s="1"/>
  <c r="Y14" i="26"/>
  <c r="Y10" i="26" s="1"/>
  <c r="Y14" i="30"/>
  <c r="V55" i="26"/>
  <c r="W55" i="26"/>
  <c r="X26" i="26"/>
  <c r="X72" i="26" s="1"/>
  <c r="V19" i="26"/>
  <c r="X16" i="30"/>
  <c r="X16" i="26"/>
  <c r="X26" i="30"/>
  <c r="X79" i="30" s="1"/>
  <c r="V71" i="26"/>
  <c r="V70" i="26" s="1"/>
  <c r="V18" i="26" s="1"/>
  <c r="Y16" i="30"/>
  <c r="Y26" i="10"/>
  <c r="Z12" i="26"/>
  <c r="Z24" i="30"/>
  <c r="Z24" i="26"/>
  <c r="Z27" i="26"/>
  <c r="Z27" i="30"/>
  <c r="Y22" i="10"/>
  <c r="Z11" i="26"/>
  <c r="Z23" i="26"/>
  <c r="Z23" i="30"/>
  <c r="Y30" i="10"/>
  <c r="Z25" i="26"/>
  <c r="Z25" i="30"/>
  <c r="Z13" i="26"/>
  <c r="Y28" i="26"/>
  <c r="Y28" i="30"/>
  <c r="Y26" i="26"/>
  <c r="Y26" i="30"/>
  <c r="Z46" i="10"/>
  <c r="AA28" i="30"/>
  <c r="V54" i="10"/>
  <c r="AA16" i="30"/>
  <c r="V19" i="30"/>
  <c r="V58" i="30"/>
  <c r="V78" i="30"/>
  <c r="V77" i="30" s="1"/>
  <c r="V18" i="30" s="1"/>
  <c r="Y42" i="10"/>
  <c r="Z60" i="10"/>
  <c r="X38" i="10"/>
  <c r="W17" i="30"/>
  <c r="W20" i="30" s="1"/>
  <c r="Y10" i="30"/>
  <c r="AA28" i="26" l="1"/>
  <c r="Y51" i="10"/>
  <c r="Y54" i="10" s="1"/>
  <c r="X35" i="26"/>
  <c r="V17" i="26"/>
  <c r="V20" i="26" s="1"/>
  <c r="Z63" i="10"/>
  <c r="Z66" i="10" s="1"/>
  <c r="AB16" i="26" s="1"/>
  <c r="Y79" i="30"/>
  <c r="X14" i="30"/>
  <c r="X10" i="30" s="1"/>
  <c r="X58" i="30" s="1"/>
  <c r="X14" i="26"/>
  <c r="X10" i="26" s="1"/>
  <c r="X55" i="26" s="1"/>
  <c r="Y72" i="26"/>
  <c r="Y35" i="26"/>
  <c r="AB28" i="26"/>
  <c r="AB28" i="30"/>
  <c r="Z30" i="10"/>
  <c r="AA25" i="26"/>
  <c r="AA25" i="30"/>
  <c r="AA13" i="26"/>
  <c r="Z26" i="10"/>
  <c r="AA12" i="26"/>
  <c r="AA24" i="26"/>
  <c r="AA24" i="30"/>
  <c r="AA46" i="10"/>
  <c r="AA63" i="10" s="1"/>
  <c r="AA66" i="10" s="1"/>
  <c r="Z22" i="10"/>
  <c r="AA11" i="26"/>
  <c r="AA23" i="30"/>
  <c r="AA23" i="26"/>
  <c r="Y35" i="30"/>
  <c r="V17" i="30"/>
  <c r="V20" i="30" s="1"/>
  <c r="AB15" i="26"/>
  <c r="AB15" i="30"/>
  <c r="Z42" i="10"/>
  <c r="AB57" i="10" s="1"/>
  <c r="Y56" i="10"/>
  <c r="Y38" i="10"/>
  <c r="X50" i="10"/>
  <c r="X51" i="10" s="1"/>
  <c r="Y71" i="26"/>
  <c r="Y19" i="26"/>
  <c r="Y19" i="30"/>
  <c r="Y78" i="30"/>
  <c r="Y70" i="26" l="1"/>
  <c r="Y18" i="26" s="1"/>
  <c r="AA14" i="30"/>
  <c r="AA14" i="26"/>
  <c r="Z51" i="10"/>
  <c r="Z54" i="10" s="1"/>
  <c r="Y57" i="10"/>
  <c r="Y60" i="10" s="1"/>
  <c r="Y77" i="30"/>
  <c r="Y18" i="30" s="1"/>
  <c r="Y17" i="30" s="1"/>
  <c r="Y20" i="30" s="1"/>
  <c r="Y58" i="30"/>
  <c r="X19" i="30"/>
  <c r="Y55" i="26"/>
  <c r="AC16" i="26"/>
  <c r="AC16" i="30"/>
  <c r="X35" i="30"/>
  <c r="X19" i="26"/>
  <c r="X78" i="30"/>
  <c r="X77" i="30" s="1"/>
  <c r="X18" i="30" s="1"/>
  <c r="X71" i="26"/>
  <c r="X70" i="26" s="1"/>
  <c r="X18" i="26" s="1"/>
  <c r="AB16" i="30"/>
  <c r="AA30" i="10"/>
  <c r="AB25" i="30"/>
  <c r="AB25" i="26"/>
  <c r="AB13" i="26"/>
  <c r="AA26" i="10"/>
  <c r="AB12" i="26"/>
  <c r="AB24" i="30"/>
  <c r="AB24" i="26"/>
  <c r="AA22" i="10"/>
  <c r="AB11" i="26"/>
  <c r="AB23" i="30"/>
  <c r="AB23" i="26"/>
  <c r="AA27" i="30"/>
  <c r="AA79" i="30" s="1"/>
  <c r="X54" i="10"/>
  <c r="Z14" i="26" s="1"/>
  <c r="Z10" i="26" s="1"/>
  <c r="AA27" i="26"/>
  <c r="Z26" i="30"/>
  <c r="Z79" i="30" s="1"/>
  <c r="AA26" i="26"/>
  <c r="AA26" i="30"/>
  <c r="AB46" i="10"/>
  <c r="AB63" i="10" s="1"/>
  <c r="AB66" i="10" s="1"/>
  <c r="AC28" i="26"/>
  <c r="AC28" i="30"/>
  <c r="Z26" i="26"/>
  <c r="AB27" i="26"/>
  <c r="AB27" i="30"/>
  <c r="AA42" i="10"/>
  <c r="AC57" i="10" s="1"/>
  <c r="AB60" i="10"/>
  <c r="Z38" i="10"/>
  <c r="Y17" i="26"/>
  <c r="Y20" i="26" s="1"/>
  <c r="X17" i="30" l="1"/>
  <c r="X20" i="30" s="1"/>
  <c r="AA15" i="30"/>
  <c r="AA10" i="30" s="1"/>
  <c r="AA15" i="26"/>
  <c r="AA10" i="26" s="1"/>
  <c r="AA35" i="30" s="1"/>
  <c r="AB14" i="30"/>
  <c r="AB14" i="26"/>
  <c r="X17" i="26"/>
  <c r="X20" i="26" s="1"/>
  <c r="AA51" i="10"/>
  <c r="AA54" i="10" s="1"/>
  <c r="AA35" i="26"/>
  <c r="AA72" i="26"/>
  <c r="AC46" i="10"/>
  <c r="AC63" i="10" s="1"/>
  <c r="AC66" i="10" s="1"/>
  <c r="AB26" i="10"/>
  <c r="AC12" i="26"/>
  <c r="AC24" i="26"/>
  <c r="AC24" i="30"/>
  <c r="AB26" i="26"/>
  <c r="AB35" i="26" s="1"/>
  <c r="AB26" i="30"/>
  <c r="AB79" i="30" s="1"/>
  <c r="Z14" i="30"/>
  <c r="Z10" i="30" s="1"/>
  <c r="Z19" i="30" s="1"/>
  <c r="AB22" i="10"/>
  <c r="AC11" i="26"/>
  <c r="AC23" i="26"/>
  <c r="AC23" i="30"/>
  <c r="Z72" i="26"/>
  <c r="Z35" i="26"/>
  <c r="AB30" i="10"/>
  <c r="AC13" i="26"/>
  <c r="AC25" i="30"/>
  <c r="AC25" i="26"/>
  <c r="Z35" i="30"/>
  <c r="Z71" i="26"/>
  <c r="Z19" i="26"/>
  <c r="Z55" i="26"/>
  <c r="AD15" i="26"/>
  <c r="AD15" i="30"/>
  <c r="AB42" i="10"/>
  <c r="AD57" i="10" s="1"/>
  <c r="AA56" i="10"/>
  <c r="AC60" i="10"/>
  <c r="AA38" i="10"/>
  <c r="AB10" i="26"/>
  <c r="AB10" i="30"/>
  <c r="AA19" i="30"/>
  <c r="AA78" i="30"/>
  <c r="AA77" i="30" s="1"/>
  <c r="AA18" i="30" s="1"/>
  <c r="AA71" i="26" l="1"/>
  <c r="AA70" i="26" s="1"/>
  <c r="AA18" i="26" s="1"/>
  <c r="AA19" i="26"/>
  <c r="AA17" i="26" s="1"/>
  <c r="AA20" i="26" s="1"/>
  <c r="AA55" i="26"/>
  <c r="AC14" i="26"/>
  <c r="AC14" i="30"/>
  <c r="AB51" i="10"/>
  <c r="AB54" i="10" s="1"/>
  <c r="AA57" i="10"/>
  <c r="AA60" i="10" s="1"/>
  <c r="AB72" i="26"/>
  <c r="Z78" i="30"/>
  <c r="Z77" i="30" s="1"/>
  <c r="Z18" i="30" s="1"/>
  <c r="Z17" i="30" s="1"/>
  <c r="Z20" i="30" s="1"/>
  <c r="Z70" i="26"/>
  <c r="Z18" i="26" s="1"/>
  <c r="Z17" i="26" s="1"/>
  <c r="Z20" i="26" s="1"/>
  <c r="AC30" i="10"/>
  <c r="AD13" i="26"/>
  <c r="AD25" i="30"/>
  <c r="AD25" i="26"/>
  <c r="AC26" i="10"/>
  <c r="AD12" i="26"/>
  <c r="AD24" i="26"/>
  <c r="AD24" i="30"/>
  <c r="AC26" i="30"/>
  <c r="AC26" i="26"/>
  <c r="AE28" i="30"/>
  <c r="AE28" i="26"/>
  <c r="AD46" i="10"/>
  <c r="AC27" i="30"/>
  <c r="AD16" i="30"/>
  <c r="AD16" i="26"/>
  <c r="AD27" i="30"/>
  <c r="AD27" i="26"/>
  <c r="AC27" i="26"/>
  <c r="AE16" i="26"/>
  <c r="AE16" i="30"/>
  <c r="Z58" i="30"/>
  <c r="AD28" i="26"/>
  <c r="AA58" i="30"/>
  <c r="AC22" i="10"/>
  <c r="AD11" i="26"/>
  <c r="AD23" i="26"/>
  <c r="AD23" i="30"/>
  <c r="AD28" i="30"/>
  <c r="AB35" i="30"/>
  <c r="AE15" i="26"/>
  <c r="AE15" i="30"/>
  <c r="AC42" i="10"/>
  <c r="AE57" i="10" s="1"/>
  <c r="AD60" i="10"/>
  <c r="AB38" i="10"/>
  <c r="AC51" i="10" s="1"/>
  <c r="AC54" i="10" s="1"/>
  <c r="AA17" i="30"/>
  <c r="AA20" i="30" s="1"/>
  <c r="AB19" i="30"/>
  <c r="AB78" i="30"/>
  <c r="AB77" i="30" s="1"/>
  <c r="AB18" i="30" s="1"/>
  <c r="AB58" i="30"/>
  <c r="AB19" i="26"/>
  <c r="AB55" i="26"/>
  <c r="AB71" i="26"/>
  <c r="AC35" i="26" l="1"/>
  <c r="AD14" i="26"/>
  <c r="AD14" i="30"/>
  <c r="AC15" i="30"/>
  <c r="AC10" i="30" s="1"/>
  <c r="AC78" i="30" s="1"/>
  <c r="AC15" i="26"/>
  <c r="AC10" i="26" s="1"/>
  <c r="AC35" i="30" s="1"/>
  <c r="AB70" i="26"/>
  <c r="AB18" i="26" s="1"/>
  <c r="AB17" i="26" s="1"/>
  <c r="AB20" i="26" s="1"/>
  <c r="AD62" i="10"/>
  <c r="AF28" i="26" s="1"/>
  <c r="AD63" i="10"/>
  <c r="AD66" i="10" s="1"/>
  <c r="AC79" i="30"/>
  <c r="AC72" i="26"/>
  <c r="AE46" i="10"/>
  <c r="AD26" i="10"/>
  <c r="AE12" i="26"/>
  <c r="AE24" i="26"/>
  <c r="AE24" i="30"/>
  <c r="AD26" i="26"/>
  <c r="AD35" i="26" s="1"/>
  <c r="AD26" i="30"/>
  <c r="AD79" i="30" s="1"/>
  <c r="AD22" i="10"/>
  <c r="AE11" i="26"/>
  <c r="AE23" i="26"/>
  <c r="AE23" i="30"/>
  <c r="AE27" i="30"/>
  <c r="AE27" i="26"/>
  <c r="AD30" i="10"/>
  <c r="AE25" i="30"/>
  <c r="AE25" i="26"/>
  <c r="AE13" i="26"/>
  <c r="AF15" i="26"/>
  <c r="AF15" i="30"/>
  <c r="AE14" i="26"/>
  <c r="AE14" i="30"/>
  <c r="AD42" i="10"/>
  <c r="AF57" i="10" s="1"/>
  <c r="AE60" i="10"/>
  <c r="AC38" i="10"/>
  <c r="AB17" i="30"/>
  <c r="AB20" i="30" s="1"/>
  <c r="AD10" i="30"/>
  <c r="AC19" i="26"/>
  <c r="AC71" i="26"/>
  <c r="AC70" i="26" s="1"/>
  <c r="AC18" i="26" s="1"/>
  <c r="AC55" i="26"/>
  <c r="AC58" i="30"/>
  <c r="AC19" i="30"/>
  <c r="AD10" i="26"/>
  <c r="AC77" i="30" l="1"/>
  <c r="AC18" i="30" s="1"/>
  <c r="AD51" i="10"/>
  <c r="AD54" i="10" s="1"/>
  <c r="AF28" i="30"/>
  <c r="AE62" i="10"/>
  <c r="AE63" i="10"/>
  <c r="AE66" i="10" s="1"/>
  <c r="AD72" i="26"/>
  <c r="AE26" i="10"/>
  <c r="AF12" i="26"/>
  <c r="AF24" i="30"/>
  <c r="AF24" i="26"/>
  <c r="AE22" i="10"/>
  <c r="AF11" i="26"/>
  <c r="AF23" i="30"/>
  <c r="AF23" i="26"/>
  <c r="AG28" i="26"/>
  <c r="AG28" i="30"/>
  <c r="AF46" i="10"/>
  <c r="AE30" i="10"/>
  <c r="AF25" i="30"/>
  <c r="AF25" i="26"/>
  <c r="AF13" i="26"/>
  <c r="AF27" i="30"/>
  <c r="AF27" i="26"/>
  <c r="AE26" i="26"/>
  <c r="AE72" i="26" s="1"/>
  <c r="AE26" i="30"/>
  <c r="AE79" i="30" s="1"/>
  <c r="AD35" i="30"/>
  <c r="AG15" i="26"/>
  <c r="AG15" i="30"/>
  <c r="AE42" i="10"/>
  <c r="AG57" i="10" s="1"/>
  <c r="AF60" i="10"/>
  <c r="AD38" i="10"/>
  <c r="AC17" i="30"/>
  <c r="AC20" i="30" s="1"/>
  <c r="AC17" i="26"/>
  <c r="AC20" i="26" s="1"/>
  <c r="AE10" i="30"/>
  <c r="AD19" i="30"/>
  <c r="AD58" i="30"/>
  <c r="AD78" i="30"/>
  <c r="AD77" i="30" s="1"/>
  <c r="AD18" i="30" s="1"/>
  <c r="AE10" i="26"/>
  <c r="AD55" i="26"/>
  <c r="AD19" i="26"/>
  <c r="AD71" i="26"/>
  <c r="AF14" i="30" l="1"/>
  <c r="AF14" i="26"/>
  <c r="AE51" i="10"/>
  <c r="AE54" i="10" s="1"/>
  <c r="AF16" i="30"/>
  <c r="AF10" i="30" s="1"/>
  <c r="AF16" i="26"/>
  <c r="AF10" i="26" s="1"/>
  <c r="AF62" i="10"/>
  <c r="AH28" i="26" s="1"/>
  <c r="AD70" i="26"/>
  <c r="AD18" i="26" s="1"/>
  <c r="AD17" i="26" s="1"/>
  <c r="AD20" i="26" s="1"/>
  <c r="AE35" i="26"/>
  <c r="AF30" i="10"/>
  <c r="AG25" i="26"/>
  <c r="AG25" i="30"/>
  <c r="AG13" i="26"/>
  <c r="AG46" i="10"/>
  <c r="AG63" i="10" s="1"/>
  <c r="AG66" i="10" s="1"/>
  <c r="AF22" i="10"/>
  <c r="AG11" i="26"/>
  <c r="AG23" i="30"/>
  <c r="AG23" i="26"/>
  <c r="AG27" i="30"/>
  <c r="AG27" i="26"/>
  <c r="AF26" i="26"/>
  <c r="AF35" i="26" s="1"/>
  <c r="AF26" i="30"/>
  <c r="AF79" i="30" s="1"/>
  <c r="AF26" i="10"/>
  <c r="AG12" i="26"/>
  <c r="AG24" i="26"/>
  <c r="AG24" i="30"/>
  <c r="AE35" i="30"/>
  <c r="AH15" i="26"/>
  <c r="AH15" i="30"/>
  <c r="AF42" i="10"/>
  <c r="AH57" i="10" s="1"/>
  <c r="AG60" i="10"/>
  <c r="AE38" i="10"/>
  <c r="AD17" i="30"/>
  <c r="AD20" i="30" s="1"/>
  <c r="AE19" i="30"/>
  <c r="AE58" i="30"/>
  <c r="AE78" i="30"/>
  <c r="AE77" i="30" s="1"/>
  <c r="AE18" i="30" s="1"/>
  <c r="AE19" i="26"/>
  <c r="AE55" i="26"/>
  <c r="AE71" i="26"/>
  <c r="AE70" i="26" s="1"/>
  <c r="AE18" i="26" s="1"/>
  <c r="AG14" i="30" l="1"/>
  <c r="AG14" i="26"/>
  <c r="AF63" i="10"/>
  <c r="AF66" i="10" s="1"/>
  <c r="AF51" i="10"/>
  <c r="AF54" i="10" s="1"/>
  <c r="AH28" i="30"/>
  <c r="AG16" i="26"/>
  <c r="AG16" i="30"/>
  <c r="AG10" i="30" s="1"/>
  <c r="AF72" i="26"/>
  <c r="AG26" i="26"/>
  <c r="AG35" i="26" s="1"/>
  <c r="AG26" i="30"/>
  <c r="AG79" i="30" s="1"/>
  <c r="AG22" i="10"/>
  <c r="AH11" i="26"/>
  <c r="AH23" i="26"/>
  <c r="AH23" i="30"/>
  <c r="AI28" i="26"/>
  <c r="AI28" i="30"/>
  <c r="AH46" i="10"/>
  <c r="AH63" i="10" s="1"/>
  <c r="AH66" i="10" s="1"/>
  <c r="AG26" i="10"/>
  <c r="AH12" i="26"/>
  <c r="AH24" i="30"/>
  <c r="AH24" i="26"/>
  <c r="AH27" i="26"/>
  <c r="AH27" i="30"/>
  <c r="AI16" i="26"/>
  <c r="AI16" i="30"/>
  <c r="AG30" i="10"/>
  <c r="AH25" i="26"/>
  <c r="AH25" i="30"/>
  <c r="AH13" i="26"/>
  <c r="AF35" i="30"/>
  <c r="AI15" i="26"/>
  <c r="AI15" i="30"/>
  <c r="AG42" i="10"/>
  <c r="AI57" i="10" s="1"/>
  <c r="AH60" i="10"/>
  <c r="AF38" i="10"/>
  <c r="AG51" i="10" s="1"/>
  <c r="AG54" i="10" s="1"/>
  <c r="AE17" i="30"/>
  <c r="AE20" i="30" s="1"/>
  <c r="AE17" i="26"/>
  <c r="AE20" i="26" s="1"/>
  <c r="AF19" i="30"/>
  <c r="AF58" i="30"/>
  <c r="AF78" i="30"/>
  <c r="AF77" i="30" s="1"/>
  <c r="AF18" i="30" s="1"/>
  <c r="AG72" i="26"/>
  <c r="AF55" i="26"/>
  <c r="AF71" i="26"/>
  <c r="AF19" i="26"/>
  <c r="AG10" i="26" l="1"/>
  <c r="AF70" i="26"/>
  <c r="AF18" i="26" s="1"/>
  <c r="AF17" i="26" s="1"/>
  <c r="AF20" i="26" s="1"/>
  <c r="AH14" i="30"/>
  <c r="AH14" i="26"/>
  <c r="AH16" i="26"/>
  <c r="AH10" i="26" s="1"/>
  <c r="AH16" i="30"/>
  <c r="AI27" i="26"/>
  <c r="AI27" i="30"/>
  <c r="AH30" i="10"/>
  <c r="AI25" i="26"/>
  <c r="AI25" i="30"/>
  <c r="AI13" i="26"/>
  <c r="AH26" i="10"/>
  <c r="AI12" i="26"/>
  <c r="AI24" i="30"/>
  <c r="AI24" i="26"/>
  <c r="AH22" i="10"/>
  <c r="AI11" i="26"/>
  <c r="AI23" i="30"/>
  <c r="AI23" i="26"/>
  <c r="AJ16" i="26"/>
  <c r="AJ16" i="30"/>
  <c r="AJ28" i="26"/>
  <c r="AJ28" i="30"/>
  <c r="AI46" i="10"/>
  <c r="AI63" i="10" s="1"/>
  <c r="AI66" i="10" s="1"/>
  <c r="AH26" i="26"/>
  <c r="AH72" i="26" s="1"/>
  <c r="AH26" i="30"/>
  <c r="AH79" i="30" s="1"/>
  <c r="AG35" i="30"/>
  <c r="AJ15" i="26"/>
  <c r="AJ15" i="30"/>
  <c r="AI14" i="26"/>
  <c r="AI14" i="30"/>
  <c r="AH42" i="10"/>
  <c r="AJ57" i="10" s="1"/>
  <c r="AI60" i="10"/>
  <c r="AG38" i="10"/>
  <c r="AF17" i="30"/>
  <c r="AF20" i="30" s="1"/>
  <c r="AG19" i="30"/>
  <c r="AG58" i="30"/>
  <c r="AG78" i="30"/>
  <c r="AG77" i="30" s="1"/>
  <c r="AG18" i="30" s="1"/>
  <c r="AH10" i="30"/>
  <c r="AG55" i="26"/>
  <c r="AG19" i="26"/>
  <c r="AG71" i="26"/>
  <c r="AG70" i="26" s="1"/>
  <c r="AG18" i="26" s="1"/>
  <c r="AH51" i="10" l="1"/>
  <c r="AH54" i="10" s="1"/>
  <c r="AI26" i="10"/>
  <c r="AJ12" i="26"/>
  <c r="AJ24" i="30"/>
  <c r="AJ24" i="26"/>
  <c r="AK28" i="26"/>
  <c r="AK28" i="30"/>
  <c r="AJ46" i="10"/>
  <c r="AJ63" i="10" s="1"/>
  <c r="AJ66" i="10" s="1"/>
  <c r="AI26" i="26"/>
  <c r="AI72" i="26" s="1"/>
  <c r="AI26" i="30"/>
  <c r="AK16" i="26"/>
  <c r="AK16" i="30"/>
  <c r="AI22" i="10"/>
  <c r="AJ11" i="26"/>
  <c r="AJ23" i="30"/>
  <c r="AJ23" i="26"/>
  <c r="AI30" i="10"/>
  <c r="AJ25" i="30"/>
  <c r="AJ25" i="26"/>
  <c r="AJ13" i="26"/>
  <c r="AH35" i="26"/>
  <c r="AJ27" i="26"/>
  <c r="AJ27" i="30"/>
  <c r="AH35" i="30"/>
  <c r="AK15" i="26"/>
  <c r="AK15" i="30"/>
  <c r="AI42" i="10"/>
  <c r="AK57" i="10" s="1"/>
  <c r="AJ60" i="10"/>
  <c r="AH38" i="10"/>
  <c r="AG17" i="26"/>
  <c r="AG20" i="26" s="1"/>
  <c r="AG17" i="30"/>
  <c r="AG20" i="30" s="1"/>
  <c r="AH55" i="26"/>
  <c r="AH19" i="26"/>
  <c r="AH71" i="26"/>
  <c r="AH70" i="26" s="1"/>
  <c r="AH18" i="26" s="1"/>
  <c r="AH19" i="30"/>
  <c r="AH58" i="30"/>
  <c r="AH78" i="30"/>
  <c r="AH77" i="30" s="1"/>
  <c r="AH18" i="30" s="1"/>
  <c r="AI79" i="30"/>
  <c r="AI10" i="26"/>
  <c r="AI10" i="30"/>
  <c r="AI35" i="26" l="1"/>
  <c r="AJ14" i="26"/>
  <c r="AJ14" i="30"/>
  <c r="AI51" i="10"/>
  <c r="AI54" i="10" s="1"/>
  <c r="AL28" i="30"/>
  <c r="AL28" i="26"/>
  <c r="AK46" i="10"/>
  <c r="AK63" i="10" s="1"/>
  <c r="AK66" i="10" s="1"/>
  <c r="AJ22" i="10"/>
  <c r="AK11" i="26"/>
  <c r="AK23" i="26"/>
  <c r="AK23" i="30"/>
  <c r="AJ26" i="26"/>
  <c r="AJ72" i="26" s="1"/>
  <c r="AJ26" i="30"/>
  <c r="AJ30" i="10"/>
  <c r="AK25" i="30"/>
  <c r="AK25" i="26"/>
  <c r="AK13" i="26"/>
  <c r="AK27" i="26"/>
  <c r="AK27" i="30"/>
  <c r="AL16" i="26"/>
  <c r="AL16" i="30"/>
  <c r="AJ26" i="10"/>
  <c r="AK12" i="26"/>
  <c r="AK24" i="26"/>
  <c r="AK24" i="30"/>
  <c r="AI35" i="30"/>
  <c r="AL15" i="26"/>
  <c r="AL15" i="30"/>
  <c r="AJ42" i="10"/>
  <c r="AK60" i="10"/>
  <c r="AI38" i="10"/>
  <c r="AH17" i="26"/>
  <c r="AH20" i="26" s="1"/>
  <c r="AH17" i="30"/>
  <c r="AH20" i="30" s="1"/>
  <c r="AI19" i="30"/>
  <c r="AI58" i="30"/>
  <c r="AI78" i="30"/>
  <c r="AI77" i="30" s="1"/>
  <c r="AI18" i="30" s="1"/>
  <c r="AJ79" i="30"/>
  <c r="AI19" i="26"/>
  <c r="AI55" i="26"/>
  <c r="AI71" i="26"/>
  <c r="AI70" i="26" s="1"/>
  <c r="AI18" i="26" s="1"/>
  <c r="AJ10" i="30"/>
  <c r="AJ10" i="26"/>
  <c r="AK14" i="30" l="1"/>
  <c r="AK14" i="26"/>
  <c r="AJ51" i="10"/>
  <c r="AJ54" i="10" s="1"/>
  <c r="AJ35" i="26"/>
  <c r="AK26" i="30"/>
  <c r="AK26" i="26"/>
  <c r="AK35" i="26" s="1"/>
  <c r="AK42" i="10"/>
  <c r="AL27" i="30"/>
  <c r="AL27" i="26"/>
  <c r="AK26" i="10"/>
  <c r="AL12" i="26"/>
  <c r="AL24" i="26"/>
  <c r="AL24" i="30"/>
  <c r="AK22" i="10"/>
  <c r="AL11" i="26"/>
  <c r="AL23" i="26"/>
  <c r="AL23" i="30"/>
  <c r="AK30" i="10"/>
  <c r="AL25" i="30"/>
  <c r="AL25" i="26"/>
  <c r="AL13" i="26"/>
  <c r="AM28" i="30"/>
  <c r="C28" i="30" s="1"/>
  <c r="AM28" i="26"/>
  <c r="C28" i="26" s="1"/>
  <c r="AM16" i="26"/>
  <c r="C16" i="26" s="1"/>
  <c r="AM16" i="30"/>
  <c r="C16" i="30" s="1"/>
  <c r="AJ35" i="30"/>
  <c r="AM15" i="26"/>
  <c r="C15" i="26" s="1"/>
  <c r="AM15" i="30"/>
  <c r="C15" i="30" s="1"/>
  <c r="AJ38" i="10"/>
  <c r="AI17" i="30"/>
  <c r="AI20" i="30" s="1"/>
  <c r="AI17" i="26"/>
  <c r="AI20" i="26" s="1"/>
  <c r="AJ58" i="30"/>
  <c r="AJ19" i="30"/>
  <c r="AJ78" i="30"/>
  <c r="AJ77" i="30" s="1"/>
  <c r="AJ18" i="30" s="1"/>
  <c r="AK79" i="30"/>
  <c r="AK10" i="26"/>
  <c r="AJ55" i="26"/>
  <c r="AJ19" i="26"/>
  <c r="AJ71" i="26"/>
  <c r="AJ70" i="26" s="1"/>
  <c r="AJ18" i="26" s="1"/>
  <c r="AK10" i="30"/>
  <c r="AK72" i="26" l="1"/>
  <c r="AL14" i="26"/>
  <c r="AL14" i="30"/>
  <c r="AK51" i="10"/>
  <c r="AK54" i="10" s="1"/>
  <c r="AM13" i="26"/>
  <c r="C13" i="26" s="1"/>
  <c r="AM25" i="30"/>
  <c r="C25" i="30" s="1"/>
  <c r="AM25" i="26"/>
  <c r="C25" i="26" s="1"/>
  <c r="AM12" i="26"/>
  <c r="C12" i="26" s="1"/>
  <c r="AM24" i="26"/>
  <c r="C24" i="26" s="1"/>
  <c r="AM24" i="30"/>
  <c r="C24" i="30" s="1"/>
  <c r="AM27" i="30"/>
  <c r="C27" i="30" s="1"/>
  <c r="AM27" i="26"/>
  <c r="C27" i="26" s="1"/>
  <c r="AM11" i="26"/>
  <c r="C11" i="26" s="1"/>
  <c r="AM23" i="26"/>
  <c r="AM23" i="30"/>
  <c r="C23" i="30" s="1"/>
  <c r="AK38" i="10"/>
  <c r="AL26" i="26"/>
  <c r="AL72" i="26" s="1"/>
  <c r="AL26" i="30"/>
  <c r="AL79" i="30" s="1"/>
  <c r="AK35" i="30"/>
  <c r="AJ17" i="26"/>
  <c r="AJ20" i="26" s="1"/>
  <c r="AJ17" i="30"/>
  <c r="AJ20" i="30" s="1"/>
  <c r="AK58" i="30"/>
  <c r="AK78" i="30"/>
  <c r="AK77" i="30" s="1"/>
  <c r="AK18" i="30" s="1"/>
  <c r="AK19" i="30"/>
  <c r="AK19" i="26"/>
  <c r="AK55" i="26"/>
  <c r="AK71" i="26"/>
  <c r="AK70" i="26" s="1"/>
  <c r="AK18" i="26" s="1"/>
  <c r="AL10" i="30"/>
  <c r="AL10" i="26"/>
  <c r="AM14" i="30" l="1"/>
  <c r="C14" i="30" s="1"/>
  <c r="AM14" i="26"/>
  <c r="C14" i="26" s="1"/>
  <c r="AL35" i="26"/>
  <c r="AM26" i="26"/>
  <c r="C26" i="26" s="1"/>
  <c r="AM26" i="30"/>
  <c r="C26" i="30" s="1"/>
  <c r="AM35" i="26"/>
  <c r="AL35" i="30"/>
  <c r="C23" i="26"/>
  <c r="AK17" i="26"/>
  <c r="AK20" i="26" s="1"/>
  <c r="AK17" i="30"/>
  <c r="AK20" i="30" s="1"/>
  <c r="AM10" i="26"/>
  <c r="AL55" i="26"/>
  <c r="AL19" i="26"/>
  <c r="AL71" i="26"/>
  <c r="AL70" i="26" s="1"/>
  <c r="AL18" i="26" s="1"/>
  <c r="AM10" i="30"/>
  <c r="AM79" i="30"/>
  <c r="AL19" i="30"/>
  <c r="AL58" i="30"/>
  <c r="AL78" i="30"/>
  <c r="AL77" i="30" s="1"/>
  <c r="AL18" i="30" s="1"/>
  <c r="AM72" i="26"/>
  <c r="C35" i="26" l="1"/>
  <c r="AM35" i="30"/>
  <c r="AL17" i="30"/>
  <c r="AL20" i="30" s="1"/>
  <c r="AL17" i="26"/>
  <c r="AL20" i="26" s="1"/>
  <c r="AM78" i="30"/>
  <c r="AM77" i="30" s="1"/>
  <c r="AM18" i="30" s="1"/>
  <c r="C18" i="30" s="1"/>
  <c r="AM19" i="30"/>
  <c r="C19" i="30" s="1"/>
  <c r="AM58" i="30"/>
  <c r="C58" i="30" s="1"/>
  <c r="C10" i="30"/>
  <c r="AM19" i="26"/>
  <c r="C19" i="26" s="1"/>
  <c r="AM71" i="26"/>
  <c r="AM70" i="26" s="1"/>
  <c r="AM18" i="26" s="1"/>
  <c r="C18" i="26" s="1"/>
  <c r="AM55" i="26"/>
  <c r="C55" i="26" s="1"/>
  <c r="C10" i="26"/>
  <c r="C35" i="30" l="1"/>
  <c r="AM17" i="30"/>
  <c r="AM17" i="26"/>
  <c r="C17" i="26" l="1"/>
  <c r="AM20" i="26"/>
  <c r="C17" i="30"/>
  <c r="AM20" i="30"/>
  <c r="C20" i="26" l="1"/>
  <c r="C20" i="30"/>
  <c r="U57" i="26" l="1"/>
  <c r="AF57" i="26"/>
  <c r="AF33" i="26" s="1"/>
  <c r="AG57" i="26"/>
  <c r="AG33" i="26" s="1"/>
  <c r="P57" i="26"/>
  <c r="P33" i="26" s="1"/>
  <c r="AM57" i="26"/>
  <c r="AM33" i="26" s="1"/>
  <c r="AA57" i="26"/>
  <c r="AA33" i="26" s="1"/>
  <c r="J57" i="26"/>
  <c r="E60" i="30"/>
  <c r="G57" i="26"/>
  <c r="Z57" i="26"/>
  <c r="Z33" i="26" s="1"/>
  <c r="Q57" i="26"/>
  <c r="Q33" i="26" s="1"/>
  <c r="AL57" i="26"/>
  <c r="AL33" i="26" s="1"/>
  <c r="K57" i="26"/>
  <c r="K33" i="26" s="1"/>
  <c r="AJ57" i="26"/>
  <c r="AJ33" i="26" s="1"/>
  <c r="R57" i="26"/>
  <c r="R33" i="26" s="1"/>
  <c r="AH57" i="26"/>
  <c r="AH33" i="26" s="1"/>
  <c r="AI57" i="26"/>
  <c r="AI33" i="26" s="1"/>
  <c r="X57" i="26"/>
  <c r="X33" i="26" s="1"/>
  <c r="S57" i="26"/>
  <c r="I57" i="26"/>
  <c r="AB57" i="26"/>
  <c r="AB33" i="26" s="1"/>
  <c r="AC57" i="26"/>
  <c r="AC33" i="26" s="1"/>
  <c r="F57" i="26"/>
  <c r="AD57" i="26"/>
  <c r="AD33" i="26" s="1"/>
  <c r="M57" i="26"/>
  <c r="M33" i="26" s="1"/>
  <c r="H57" i="26"/>
  <c r="N57" i="26"/>
  <c r="L57" i="26"/>
  <c r="L33" i="26" s="1"/>
  <c r="AK57" i="26"/>
  <c r="AK33" i="26" s="1"/>
  <c r="W57" i="26"/>
  <c r="W33" i="26" s="1"/>
  <c r="V57" i="26"/>
  <c r="V33" i="26" s="1"/>
  <c r="AE57" i="26"/>
  <c r="AE33" i="26" s="1"/>
  <c r="Y57" i="26"/>
  <c r="Y33" i="26" s="1"/>
  <c r="T57" i="26"/>
  <c r="T33" i="26" s="1"/>
  <c r="O57" i="26"/>
  <c r="O33" i="26" s="1"/>
  <c r="AG60" i="30"/>
  <c r="K60" i="30"/>
  <c r="AJ60" i="30"/>
  <c r="AL60" i="30"/>
  <c r="AD60" i="30"/>
  <c r="I60" i="30"/>
  <c r="P60" i="30"/>
  <c r="Q60" i="30"/>
  <c r="R60" i="30"/>
  <c r="L60" i="30"/>
  <c r="J60" i="30"/>
  <c r="AH60" i="30"/>
  <c r="V60" i="30"/>
  <c r="AE60" i="30"/>
  <c r="AK60" i="30"/>
  <c r="N60" i="30"/>
  <c r="AF60" i="30"/>
  <c r="Z60" i="30"/>
  <c r="AA60" i="30"/>
  <c r="Y60" i="30"/>
  <c r="X60" i="30"/>
  <c r="M60" i="30"/>
  <c r="AB60" i="30"/>
  <c r="AM60" i="30"/>
  <c r="T60" i="30"/>
  <c r="W60" i="30"/>
  <c r="AC60" i="30"/>
  <c r="G60" i="30"/>
  <c r="S60" i="30"/>
  <c r="U60" i="30"/>
  <c r="F60" i="30"/>
  <c r="AI60" i="30"/>
  <c r="H60" i="30"/>
  <c r="E57" i="26"/>
  <c r="O60" i="30"/>
  <c r="X59" i="30" l="1"/>
  <c r="X33" i="30"/>
  <c r="V59" i="30"/>
  <c r="V33" i="30"/>
  <c r="AD59" i="30"/>
  <c r="AD33" i="30"/>
  <c r="E59" i="30"/>
  <c r="G59" i="30"/>
  <c r="AH59" i="30"/>
  <c r="AH33" i="30"/>
  <c r="AL59" i="30"/>
  <c r="AL33" i="30"/>
  <c r="F91" i="26"/>
  <c r="F93" i="26" s="1"/>
  <c r="C17" i="20"/>
  <c r="Z17" i="20" s="1"/>
  <c r="O59" i="30"/>
  <c r="O33" i="30"/>
  <c r="J59" i="30"/>
  <c r="AJ59" i="30"/>
  <c r="AJ33" i="30"/>
  <c r="L59" i="30"/>
  <c r="L33" i="30"/>
  <c r="K59" i="30"/>
  <c r="K33" i="30"/>
  <c r="AC59" i="30"/>
  <c r="AC33" i="30"/>
  <c r="T59" i="30"/>
  <c r="T33" i="30"/>
  <c r="AF59" i="30"/>
  <c r="AF33" i="30"/>
  <c r="R59" i="30"/>
  <c r="R33" i="30"/>
  <c r="AG59" i="30"/>
  <c r="AG33" i="30"/>
  <c r="I91" i="26"/>
  <c r="I93" i="26" s="1"/>
  <c r="S59" i="30"/>
  <c r="S33" i="30"/>
  <c r="Z59" i="30"/>
  <c r="Z33" i="30"/>
  <c r="AI59" i="30"/>
  <c r="AI33" i="30"/>
  <c r="AM59" i="30"/>
  <c r="AM33" i="30"/>
  <c r="N59" i="30"/>
  <c r="N33" i="30"/>
  <c r="Q59" i="30"/>
  <c r="Q33" i="30"/>
  <c r="N91" i="26"/>
  <c r="N93" i="26" s="1"/>
  <c r="N33" i="26"/>
  <c r="S56" i="26"/>
  <c r="S33" i="26"/>
  <c r="AA59" i="30"/>
  <c r="AA33" i="30"/>
  <c r="H59" i="30"/>
  <c r="F59" i="30"/>
  <c r="AB59" i="30"/>
  <c r="AB33" i="30"/>
  <c r="AK59" i="30"/>
  <c r="AK33" i="30"/>
  <c r="P59" i="30"/>
  <c r="P33" i="30"/>
  <c r="C15" i="20"/>
  <c r="AE15" i="20" s="1"/>
  <c r="Y59" i="30"/>
  <c r="Y33" i="30"/>
  <c r="W59" i="30"/>
  <c r="W33" i="30"/>
  <c r="U59" i="30"/>
  <c r="U33" i="30"/>
  <c r="M59" i="30"/>
  <c r="M33" i="30"/>
  <c r="AE59" i="30"/>
  <c r="AE33" i="30"/>
  <c r="I59" i="30"/>
  <c r="U56" i="26"/>
  <c r="U9" i="29" s="1"/>
  <c r="U33" i="26"/>
  <c r="T56" i="26"/>
  <c r="T34" i="26" s="1"/>
  <c r="Y56" i="26"/>
  <c r="Y34" i="26" s="1"/>
  <c r="AK56" i="26"/>
  <c r="AK34" i="26" s="1"/>
  <c r="AJ56" i="26"/>
  <c r="AJ34" i="26" s="1"/>
  <c r="W56" i="26"/>
  <c r="W34" i="26" s="1"/>
  <c r="P56" i="26"/>
  <c r="AF56" i="26"/>
  <c r="Z56" i="26"/>
  <c r="Z34" i="26" s="1"/>
  <c r="AE56" i="26"/>
  <c r="AE34" i="26" s="1"/>
  <c r="AH56" i="26"/>
  <c r="AH34" i="26" s="1"/>
  <c r="AA56" i="26"/>
  <c r="O56" i="26"/>
  <c r="V56" i="26"/>
  <c r="V34" i="26" s="1"/>
  <c r="H91" i="26"/>
  <c r="H93" i="26" s="1"/>
  <c r="R56" i="26"/>
  <c r="R34" i="26" s="1"/>
  <c r="M91" i="26"/>
  <c r="M93" i="26" s="1"/>
  <c r="AD56" i="26"/>
  <c r="AD34" i="26" s="1"/>
  <c r="AD22" i="26" s="1"/>
  <c r="AD37" i="26" s="1"/>
  <c r="T9" i="29"/>
  <c r="AE9" i="29"/>
  <c r="L91" i="26"/>
  <c r="L93" i="26" s="1"/>
  <c r="AB56" i="26"/>
  <c r="K91" i="26"/>
  <c r="K93" i="26" s="1"/>
  <c r="Q56" i="26"/>
  <c r="K56" i="26"/>
  <c r="C20" i="20"/>
  <c r="J56" i="26"/>
  <c r="C12" i="20"/>
  <c r="E56" i="26"/>
  <c r="C18" i="20"/>
  <c r="G56" i="26"/>
  <c r="L56" i="26"/>
  <c r="E91" i="26"/>
  <c r="E93" i="26" s="1"/>
  <c r="M56" i="26"/>
  <c r="C21" i="20"/>
  <c r="X56" i="26"/>
  <c r="N56" i="26"/>
  <c r="AC56" i="26"/>
  <c r="AL56" i="26"/>
  <c r="C13" i="20"/>
  <c r="C60" i="30"/>
  <c r="G33" i="30" s="1"/>
  <c r="F56" i="26"/>
  <c r="C19" i="20"/>
  <c r="J91" i="26"/>
  <c r="J93" i="26" s="1"/>
  <c r="AM56" i="26"/>
  <c r="AG56" i="26"/>
  <c r="C14" i="20"/>
  <c r="C57" i="26"/>
  <c r="E33" i="26" s="1"/>
  <c r="H56" i="26"/>
  <c r="AI56" i="26"/>
  <c r="G91" i="26"/>
  <c r="G93" i="26" s="1"/>
  <c r="I56" i="26"/>
  <c r="C16" i="20"/>
  <c r="Y9" i="29" l="1"/>
  <c r="AH9" i="29"/>
  <c r="Q17" i="20"/>
  <c r="AA17" i="20"/>
  <c r="V17" i="20"/>
  <c r="K17" i="20"/>
  <c r="R9" i="29"/>
  <c r="AK9" i="29"/>
  <c r="U17" i="20"/>
  <c r="AF17" i="20"/>
  <c r="AG17" i="20"/>
  <c r="M17" i="20"/>
  <c r="X17" i="20"/>
  <c r="AD17" i="20"/>
  <c r="W17" i="20"/>
  <c r="AB17" i="20"/>
  <c r="L17" i="20"/>
  <c r="O17" i="20"/>
  <c r="J17" i="20"/>
  <c r="T17" i="20"/>
  <c r="S17" i="20"/>
  <c r="R17" i="20"/>
  <c r="P17" i="20"/>
  <c r="V9" i="29"/>
  <c r="AE17" i="20"/>
  <c r="S15" i="20"/>
  <c r="AC17" i="20"/>
  <c r="AH17" i="20"/>
  <c r="Q15" i="20"/>
  <c r="N17" i="20"/>
  <c r="Y17" i="20"/>
  <c r="AB15" i="20"/>
  <c r="O15" i="20"/>
  <c r="F33" i="30"/>
  <c r="C59" i="30"/>
  <c r="H15" i="20"/>
  <c r="J15" i="20"/>
  <c r="K15" i="20"/>
  <c r="U15" i="20"/>
  <c r="W15" i="20"/>
  <c r="P34" i="30"/>
  <c r="P22" i="30" s="1"/>
  <c r="P37" i="30" s="1"/>
  <c r="P38" i="30" s="1"/>
  <c r="P34" i="26"/>
  <c r="P22" i="26" s="1"/>
  <c r="P37" i="26" s="1"/>
  <c r="P53" i="26" s="1"/>
  <c r="S34" i="30"/>
  <c r="S22" i="30" s="1"/>
  <c r="S37" i="30" s="1"/>
  <c r="S34" i="26"/>
  <c r="S22" i="26" s="1"/>
  <c r="S37" i="26" s="1"/>
  <c r="S38" i="26" s="1"/>
  <c r="F33" i="26"/>
  <c r="E33" i="30"/>
  <c r="H33" i="26"/>
  <c r="G34" i="30"/>
  <c r="G22" i="30" s="1"/>
  <c r="G37" i="30" s="1"/>
  <c r="G38" i="30" s="1"/>
  <c r="G34" i="26"/>
  <c r="J33" i="30"/>
  <c r="AL34" i="30"/>
  <c r="AL22" i="30" s="1"/>
  <c r="AL37" i="30" s="1"/>
  <c r="AL56" i="30" s="1"/>
  <c r="AL34" i="26"/>
  <c r="AL22" i="26" s="1"/>
  <c r="AL37" i="26" s="1"/>
  <c r="E34" i="30"/>
  <c r="E34" i="26"/>
  <c r="E22" i="26" s="1"/>
  <c r="E37" i="26" s="1"/>
  <c r="O9" i="29"/>
  <c r="O34" i="26"/>
  <c r="O22" i="26" s="1"/>
  <c r="O37" i="26" s="1"/>
  <c r="O53" i="26" s="1"/>
  <c r="AM34" i="30"/>
  <c r="AM22" i="30" s="1"/>
  <c r="AM37" i="30" s="1"/>
  <c r="AM34" i="26"/>
  <c r="AM22" i="26" s="1"/>
  <c r="AM37" i="26" s="1"/>
  <c r="X34" i="30"/>
  <c r="X22" i="30" s="1"/>
  <c r="X37" i="30" s="1"/>
  <c r="X56" i="30" s="1"/>
  <c r="X34" i="26"/>
  <c r="X22" i="26" s="1"/>
  <c r="X37" i="26" s="1"/>
  <c r="S9" i="29"/>
  <c r="V15" i="20"/>
  <c r="R15" i="20"/>
  <c r="N15" i="20"/>
  <c r="AA34" i="30"/>
  <c r="AA22" i="30" s="1"/>
  <c r="AA37" i="30" s="1"/>
  <c r="AA56" i="30" s="1"/>
  <c r="AA34" i="26"/>
  <c r="AA22" i="26" s="1"/>
  <c r="AA37" i="26" s="1"/>
  <c r="U34" i="30"/>
  <c r="U22" i="30" s="1"/>
  <c r="U37" i="30" s="1"/>
  <c r="U34" i="26"/>
  <c r="U22" i="26" s="1"/>
  <c r="U37" i="26" s="1"/>
  <c r="U38" i="26" s="1"/>
  <c r="H33" i="30"/>
  <c r="AJ9" i="29"/>
  <c r="I34" i="30"/>
  <c r="I34" i="26"/>
  <c r="J34" i="30"/>
  <c r="J34" i="26"/>
  <c r="W9" i="29"/>
  <c r="AA15" i="20"/>
  <c r="I15" i="20"/>
  <c r="L15" i="20"/>
  <c r="AF15" i="20"/>
  <c r="G33" i="26"/>
  <c r="AC34" i="30"/>
  <c r="AC22" i="30" s="1"/>
  <c r="AC37" i="30" s="1"/>
  <c r="AC38" i="30" s="1"/>
  <c r="AC34" i="26"/>
  <c r="AC22" i="26" s="1"/>
  <c r="AC37" i="26" s="1"/>
  <c r="M34" i="30"/>
  <c r="M22" i="30" s="1"/>
  <c r="M37" i="30" s="1"/>
  <c r="M56" i="30" s="1"/>
  <c r="M34" i="26"/>
  <c r="M22" i="26" s="1"/>
  <c r="M37" i="26" s="1"/>
  <c r="X15" i="20"/>
  <c r="AC15" i="20"/>
  <c r="T15" i="20"/>
  <c r="I33" i="30"/>
  <c r="F34" i="30"/>
  <c r="F34" i="26"/>
  <c r="J33" i="26"/>
  <c r="AG34" i="30"/>
  <c r="AG22" i="30" s="1"/>
  <c r="AG37" i="30" s="1"/>
  <c r="AG56" i="30" s="1"/>
  <c r="AG34" i="26"/>
  <c r="AG22" i="26" s="1"/>
  <c r="AG37" i="26" s="1"/>
  <c r="AB34" i="30"/>
  <c r="AB22" i="30" s="1"/>
  <c r="AB37" i="30" s="1"/>
  <c r="AB38" i="30" s="1"/>
  <c r="AB34" i="26"/>
  <c r="AB22" i="26" s="1"/>
  <c r="AB37" i="26" s="1"/>
  <c r="AI34" i="30"/>
  <c r="AI22" i="30" s="1"/>
  <c r="AI37" i="30" s="1"/>
  <c r="AI38" i="30" s="1"/>
  <c r="AI34" i="26"/>
  <c r="AI22" i="26" s="1"/>
  <c r="AI37" i="26" s="1"/>
  <c r="K34" i="30"/>
  <c r="K22" i="30" s="1"/>
  <c r="K37" i="30" s="1"/>
  <c r="K38" i="30" s="1"/>
  <c r="K34" i="26"/>
  <c r="K22" i="26" s="1"/>
  <c r="K37" i="26" s="1"/>
  <c r="Y15" i="20"/>
  <c r="P15" i="20"/>
  <c r="M15" i="20"/>
  <c r="H34" i="30"/>
  <c r="H34" i="26"/>
  <c r="N34" i="30"/>
  <c r="N22" i="30" s="1"/>
  <c r="N37" i="30" s="1"/>
  <c r="N56" i="30" s="1"/>
  <c r="N34" i="26"/>
  <c r="N22" i="26" s="1"/>
  <c r="N37" i="26" s="1"/>
  <c r="L34" i="30"/>
  <c r="L22" i="30" s="1"/>
  <c r="L37" i="30" s="1"/>
  <c r="L38" i="30" s="1"/>
  <c r="L34" i="26"/>
  <c r="L22" i="26" s="1"/>
  <c r="L37" i="26" s="1"/>
  <c r="Q34" i="30"/>
  <c r="Q22" i="30" s="1"/>
  <c r="Q37" i="30" s="1"/>
  <c r="Q38" i="30" s="1"/>
  <c r="Q34" i="26"/>
  <c r="Q22" i="26" s="1"/>
  <c r="Q37" i="26" s="1"/>
  <c r="AD15" i="20"/>
  <c r="Z15" i="20"/>
  <c r="AF34" i="30"/>
  <c r="AF22" i="30" s="1"/>
  <c r="AF37" i="30" s="1"/>
  <c r="AF38" i="30" s="1"/>
  <c r="AF34" i="26"/>
  <c r="AF22" i="26" s="1"/>
  <c r="AF37" i="26" s="1"/>
  <c r="I33" i="26"/>
  <c r="AK22" i="26"/>
  <c r="AK37" i="26" s="1"/>
  <c r="AK53" i="26" s="1"/>
  <c r="AK34" i="30"/>
  <c r="AK22" i="30" s="1"/>
  <c r="AK37" i="30" s="1"/>
  <c r="AD9" i="29"/>
  <c r="AD34" i="30"/>
  <c r="AD22" i="30" s="1"/>
  <c r="AD37" i="30" s="1"/>
  <c r="AH22" i="26"/>
  <c r="AH37" i="26" s="1"/>
  <c r="AH38" i="26" s="1"/>
  <c r="AH34" i="30"/>
  <c r="AH22" i="30" s="1"/>
  <c r="AH37" i="30" s="1"/>
  <c r="Y22" i="26"/>
  <c r="Y37" i="26" s="1"/>
  <c r="Y53" i="26" s="1"/>
  <c r="Y34" i="30"/>
  <c r="Y22" i="30" s="1"/>
  <c r="Y37" i="30" s="1"/>
  <c r="AJ22" i="26"/>
  <c r="AJ37" i="26" s="1"/>
  <c r="AJ38" i="26" s="1"/>
  <c r="AJ34" i="30"/>
  <c r="AJ22" i="30" s="1"/>
  <c r="AJ37" i="30" s="1"/>
  <c r="AE22" i="26"/>
  <c r="AE37" i="26" s="1"/>
  <c r="AE53" i="26" s="1"/>
  <c r="AE34" i="30"/>
  <c r="AE22" i="30" s="1"/>
  <c r="AE37" i="30" s="1"/>
  <c r="T22" i="26"/>
  <c r="T37" i="26" s="1"/>
  <c r="T38" i="26" s="1"/>
  <c r="T34" i="30"/>
  <c r="T22" i="30" s="1"/>
  <c r="T37" i="30" s="1"/>
  <c r="O34" i="30"/>
  <c r="O22" i="30" s="1"/>
  <c r="O37" i="30" s="1"/>
  <c r="Z22" i="26"/>
  <c r="Z37" i="26" s="1"/>
  <c r="Z53" i="26" s="1"/>
  <c r="Z34" i="30"/>
  <c r="Z22" i="30" s="1"/>
  <c r="Z37" i="30" s="1"/>
  <c r="R22" i="26"/>
  <c r="R37" i="26" s="1"/>
  <c r="R38" i="26" s="1"/>
  <c r="R34" i="30"/>
  <c r="R22" i="30" s="1"/>
  <c r="R37" i="30" s="1"/>
  <c r="V22" i="26"/>
  <c r="V37" i="26" s="1"/>
  <c r="V38" i="26" s="1"/>
  <c r="V34" i="30"/>
  <c r="V22" i="30" s="1"/>
  <c r="V37" i="30" s="1"/>
  <c r="W22" i="26"/>
  <c r="W37" i="26" s="1"/>
  <c r="W53" i="26" s="1"/>
  <c r="W34" i="30"/>
  <c r="W22" i="30" s="1"/>
  <c r="W37" i="30" s="1"/>
  <c r="Z9" i="29"/>
  <c r="AF9" i="29"/>
  <c r="P9" i="29"/>
  <c r="AA9" i="29"/>
  <c r="AD53" i="26"/>
  <c r="AD38" i="26"/>
  <c r="AM9" i="29"/>
  <c r="F9" i="29"/>
  <c r="K9" i="29"/>
  <c r="AI9" i="29"/>
  <c r="Q9" i="29"/>
  <c r="AC9" i="29"/>
  <c r="H9" i="29"/>
  <c r="AD13" i="20"/>
  <c r="AB13" i="20"/>
  <c r="N13" i="20"/>
  <c r="J13" i="20"/>
  <c r="H13" i="20"/>
  <c r="AC13" i="20"/>
  <c r="R13" i="20"/>
  <c r="T13" i="20"/>
  <c r="S13" i="20"/>
  <c r="M13" i="20"/>
  <c r="L13" i="20"/>
  <c r="P13" i="20"/>
  <c r="W13" i="20"/>
  <c r="Z13" i="20"/>
  <c r="Y13" i="20"/>
  <c r="V13" i="20"/>
  <c r="K13" i="20"/>
  <c r="O13" i="20"/>
  <c r="U13" i="20"/>
  <c r="Q13" i="20"/>
  <c r="AA13" i="20"/>
  <c r="X13" i="20"/>
  <c r="F13" i="20"/>
  <c r="I13" i="20"/>
  <c r="G13" i="20"/>
  <c r="C56" i="26"/>
  <c r="K34" i="2" s="1"/>
  <c r="K36" i="2" s="1"/>
  <c r="E9" i="29"/>
  <c r="AG16" i="20"/>
  <c r="V16" i="20"/>
  <c r="N16" i="20"/>
  <c r="AE16" i="20"/>
  <c r="AA16" i="20"/>
  <c r="AF16" i="20"/>
  <c r="I16" i="20"/>
  <c r="AB16" i="20"/>
  <c r="K16" i="20"/>
  <c r="AC16" i="20"/>
  <c r="AD16" i="20"/>
  <c r="Z16" i="20"/>
  <c r="U16" i="20"/>
  <c r="P16" i="20"/>
  <c r="X16" i="20"/>
  <c r="O16" i="20"/>
  <c r="M16" i="20"/>
  <c r="R16" i="20"/>
  <c r="T16" i="20"/>
  <c r="Q16" i="20"/>
  <c r="W16" i="20"/>
  <c r="L16" i="20"/>
  <c r="J16" i="20"/>
  <c r="Y16" i="20"/>
  <c r="S16" i="20"/>
  <c r="N9" i="29"/>
  <c r="X9" i="29"/>
  <c r="L9" i="29"/>
  <c r="K12" i="20"/>
  <c r="AA12" i="20"/>
  <c r="AC12" i="20"/>
  <c r="I12" i="20"/>
  <c r="F12" i="20"/>
  <c r="H12" i="20"/>
  <c r="Z12" i="20"/>
  <c r="Q12" i="20"/>
  <c r="T12" i="20"/>
  <c r="U12" i="20"/>
  <c r="AB12" i="20"/>
  <c r="N12" i="20"/>
  <c r="E12" i="20"/>
  <c r="E47" i="20" s="1"/>
  <c r="P12" i="20"/>
  <c r="S12" i="20"/>
  <c r="Y12" i="20"/>
  <c r="M12" i="20"/>
  <c r="O12" i="20"/>
  <c r="X12" i="20"/>
  <c r="L12" i="20"/>
  <c r="W12" i="20"/>
  <c r="J12" i="20"/>
  <c r="G12" i="20"/>
  <c r="R12" i="20"/>
  <c r="V12" i="20"/>
  <c r="I9" i="29"/>
  <c r="AC14" i="20"/>
  <c r="AB14" i="20"/>
  <c r="K14" i="20"/>
  <c r="R14" i="20"/>
  <c r="Y14" i="20"/>
  <c r="N14" i="20"/>
  <c r="V14" i="20"/>
  <c r="J14" i="20"/>
  <c r="AE14" i="20"/>
  <c r="AD14" i="20"/>
  <c r="G14" i="20"/>
  <c r="P14" i="20"/>
  <c r="W14" i="20"/>
  <c r="L14" i="20"/>
  <c r="I14" i="20"/>
  <c r="X14" i="20"/>
  <c r="Z14" i="20"/>
  <c r="U14" i="20"/>
  <c r="M14" i="20"/>
  <c r="Q14" i="20"/>
  <c r="T14" i="20"/>
  <c r="O14" i="20"/>
  <c r="S14" i="20"/>
  <c r="H14" i="20"/>
  <c r="AA14" i="20"/>
  <c r="AL9" i="29"/>
  <c r="AL21" i="20"/>
  <c r="AL47" i="20" s="1"/>
  <c r="AL92" i="20" s="1"/>
  <c r="T21" i="20"/>
  <c r="N21" i="20"/>
  <c r="Y21" i="20"/>
  <c r="P21" i="20"/>
  <c r="R21" i="20"/>
  <c r="AI21" i="20"/>
  <c r="AG21" i="20"/>
  <c r="X21" i="20"/>
  <c r="AA21" i="20"/>
  <c r="AJ21" i="20"/>
  <c r="AH21" i="20"/>
  <c r="AD21" i="20"/>
  <c r="U21" i="20"/>
  <c r="S21" i="20"/>
  <c r="O21" i="20"/>
  <c r="W21" i="20"/>
  <c r="Z21" i="20"/>
  <c r="AE21" i="20"/>
  <c r="Q21" i="20"/>
  <c r="AB21" i="20"/>
  <c r="V21" i="20"/>
  <c r="AK21" i="20"/>
  <c r="AF21" i="20"/>
  <c r="AC21" i="20"/>
  <c r="G9" i="29"/>
  <c r="J9" i="29"/>
  <c r="AB9" i="29"/>
  <c r="AG9" i="29"/>
  <c r="AJ19" i="20"/>
  <c r="Z19" i="20"/>
  <c r="V19" i="20"/>
  <c r="AE19" i="20"/>
  <c r="T19" i="20"/>
  <c r="X19" i="20"/>
  <c r="AH19" i="20"/>
  <c r="AA19" i="20"/>
  <c r="W19" i="20"/>
  <c r="AF19" i="20"/>
  <c r="O19" i="20"/>
  <c r="N19" i="20"/>
  <c r="AI19" i="20"/>
  <c r="Y19" i="20"/>
  <c r="AB19" i="20"/>
  <c r="P19" i="20"/>
  <c r="AC19" i="20"/>
  <c r="L19" i="20"/>
  <c r="AD19" i="20"/>
  <c r="AG19" i="20"/>
  <c r="Q19" i="20"/>
  <c r="R19" i="20"/>
  <c r="U19" i="20"/>
  <c r="M19" i="20"/>
  <c r="S19" i="20"/>
  <c r="M9" i="29"/>
  <c r="AI18" i="20"/>
  <c r="U18" i="20"/>
  <c r="T18" i="20"/>
  <c r="O18" i="20"/>
  <c r="AA18" i="20"/>
  <c r="AC18" i="20"/>
  <c r="K18" i="20"/>
  <c r="AE18" i="20"/>
  <c r="AB18" i="20"/>
  <c r="L18" i="20"/>
  <c r="M18" i="20"/>
  <c r="R18" i="20"/>
  <c r="AH18" i="20"/>
  <c r="Q18" i="20"/>
  <c r="AG18" i="20"/>
  <c r="W18" i="20"/>
  <c r="Y18" i="20"/>
  <c r="P18" i="20"/>
  <c r="X18" i="20"/>
  <c r="AF18" i="20"/>
  <c r="S18" i="20"/>
  <c r="V18" i="20"/>
  <c r="Z18" i="20"/>
  <c r="N18" i="20"/>
  <c r="AD18" i="20"/>
  <c r="AK20" i="20"/>
  <c r="AA20" i="20"/>
  <c r="N20" i="20"/>
  <c r="AE20" i="20"/>
  <c r="Q20" i="20"/>
  <c r="Y20" i="20"/>
  <c r="U20" i="20"/>
  <c r="R20" i="20"/>
  <c r="T20" i="20"/>
  <c r="W20" i="20"/>
  <c r="AG20" i="20"/>
  <c r="X20" i="20"/>
  <c r="AI20" i="20"/>
  <c r="P20" i="20"/>
  <c r="AJ20" i="20"/>
  <c r="AH20" i="20"/>
  <c r="AC20" i="20"/>
  <c r="O20" i="20"/>
  <c r="AF20" i="20"/>
  <c r="S20" i="20"/>
  <c r="AD20" i="20"/>
  <c r="M20" i="20"/>
  <c r="V20" i="20"/>
  <c r="AB20" i="20"/>
  <c r="Z20" i="20"/>
  <c r="S53" i="26" l="1"/>
  <c r="U53" i="26"/>
  <c r="AI56" i="30"/>
  <c r="AL38" i="30"/>
  <c r="X38" i="30"/>
  <c r="AG38" i="30"/>
  <c r="Q56" i="30"/>
  <c r="M38" i="30"/>
  <c r="K56" i="30"/>
  <c r="F22" i="30"/>
  <c r="F37" i="30" s="1"/>
  <c r="F56" i="30" s="1"/>
  <c r="P56" i="30"/>
  <c r="AA38" i="30"/>
  <c r="J22" i="30"/>
  <c r="J37" i="30" s="1"/>
  <c r="AF56" i="30"/>
  <c r="G56" i="30"/>
  <c r="E22" i="30"/>
  <c r="E37" i="30" s="1"/>
  <c r="E56" i="30" s="1"/>
  <c r="H22" i="30"/>
  <c r="H37" i="30" s="1"/>
  <c r="H56" i="30" s="1"/>
  <c r="H22" i="26"/>
  <c r="H37" i="26" s="1"/>
  <c r="H53" i="26" s="1"/>
  <c r="AB56" i="30"/>
  <c r="AC56" i="30"/>
  <c r="N38" i="30"/>
  <c r="L56" i="30"/>
  <c r="I22" i="30"/>
  <c r="I37" i="30" s="1"/>
  <c r="C33" i="30"/>
  <c r="U38" i="30"/>
  <c r="U56" i="30"/>
  <c r="S38" i="30"/>
  <c r="S56" i="30"/>
  <c r="AJ53" i="26"/>
  <c r="O38" i="26"/>
  <c r="AH53" i="26"/>
  <c r="R53" i="26"/>
  <c r="AE38" i="26"/>
  <c r="T53" i="26"/>
  <c r="Y38" i="26"/>
  <c r="V53" i="26"/>
  <c r="W56" i="30"/>
  <c r="W38" i="30"/>
  <c r="Z56" i="30"/>
  <c r="Z38" i="30"/>
  <c r="AM56" i="30"/>
  <c r="AM38" i="30"/>
  <c r="AD38" i="30"/>
  <c r="AD56" i="30"/>
  <c r="AK56" i="30"/>
  <c r="AK38" i="30"/>
  <c r="V56" i="30"/>
  <c r="V38" i="30"/>
  <c r="O38" i="30"/>
  <c r="O56" i="30"/>
  <c r="AJ38" i="30"/>
  <c r="AJ56" i="30"/>
  <c r="AK38" i="26"/>
  <c r="W38" i="26"/>
  <c r="R56" i="30"/>
  <c r="R38" i="30"/>
  <c r="T38" i="30"/>
  <c r="T56" i="30"/>
  <c r="Y56" i="30"/>
  <c r="Y38" i="30"/>
  <c r="Z38" i="26"/>
  <c r="C34" i="30"/>
  <c r="AE38" i="30"/>
  <c r="AE56" i="30"/>
  <c r="AH56" i="30"/>
  <c r="AH38" i="30"/>
  <c r="AK47" i="20"/>
  <c r="AK92" i="20" s="1"/>
  <c r="AL40" i="30" s="1"/>
  <c r="AL42" i="30" s="1"/>
  <c r="P38" i="26"/>
  <c r="F47" i="20"/>
  <c r="F92" i="20" s="1"/>
  <c r="G40" i="30" s="1"/>
  <c r="G42" i="30" s="1"/>
  <c r="C33" i="26"/>
  <c r="F22" i="26"/>
  <c r="F37" i="26" s="1"/>
  <c r="F53" i="26" s="1"/>
  <c r="AH47" i="20"/>
  <c r="AH92" i="20" s="1"/>
  <c r="AI40" i="26" s="1"/>
  <c r="AI42" i="26" s="1"/>
  <c r="AF53" i="26"/>
  <c r="AF38" i="26"/>
  <c r="AF47" i="20"/>
  <c r="AF92" i="20" s="1"/>
  <c r="AG40" i="30" s="1"/>
  <c r="AG42" i="30" s="1"/>
  <c r="G47" i="20"/>
  <c r="G92" i="20" s="1"/>
  <c r="H40" i="30" s="1"/>
  <c r="AA53" i="26"/>
  <c r="AA38" i="26"/>
  <c r="S44" i="29"/>
  <c r="L44" i="29"/>
  <c r="T44" i="29"/>
  <c r="G41" i="29"/>
  <c r="M44" i="29"/>
  <c r="O44" i="29"/>
  <c r="N44" i="29"/>
  <c r="U44" i="29"/>
  <c r="K44" i="29"/>
  <c r="P44" i="29"/>
  <c r="Q44" i="29"/>
  <c r="J44" i="29"/>
  <c r="R44" i="29"/>
  <c r="AE47" i="20"/>
  <c r="AE92" i="20" s="1"/>
  <c r="S47" i="20"/>
  <c r="S92" i="20" s="1"/>
  <c r="Z47" i="20"/>
  <c r="Z92" i="20" s="1"/>
  <c r="L53" i="26"/>
  <c r="L38" i="26"/>
  <c r="AM40" i="30"/>
  <c r="AM42" i="30" s="1"/>
  <c r="AM40" i="26"/>
  <c r="AM42" i="26" s="1"/>
  <c r="I55" i="29"/>
  <c r="W58" i="29"/>
  <c r="O58" i="29"/>
  <c r="N58" i="29"/>
  <c r="U58" i="29"/>
  <c r="S58" i="29"/>
  <c r="P58" i="29"/>
  <c r="R58" i="29"/>
  <c r="V58" i="29"/>
  <c r="M58" i="29"/>
  <c r="L58" i="29"/>
  <c r="T58" i="29"/>
  <c r="Q58" i="29"/>
  <c r="J47" i="20"/>
  <c r="J92" i="20" s="1"/>
  <c r="P47" i="20"/>
  <c r="P92" i="20" s="1"/>
  <c r="H47" i="20"/>
  <c r="H92" i="20" s="1"/>
  <c r="X53" i="26"/>
  <c r="X38" i="26"/>
  <c r="K69" i="29"/>
  <c r="P72" i="29"/>
  <c r="U72" i="29"/>
  <c r="T72" i="29"/>
  <c r="V72" i="29"/>
  <c r="Y72" i="29"/>
  <c r="Y23" i="29" s="1"/>
  <c r="Y65" i="30" s="1"/>
  <c r="R72" i="29"/>
  <c r="Q72" i="29"/>
  <c r="N72" i="29"/>
  <c r="X72" i="29"/>
  <c r="W72" i="29"/>
  <c r="S72" i="29"/>
  <c r="O72" i="29"/>
  <c r="AM53" i="26"/>
  <c r="AM38" i="26"/>
  <c r="N53" i="26"/>
  <c r="N38" i="26"/>
  <c r="W47" i="20"/>
  <c r="W92" i="20" s="1"/>
  <c r="E92" i="20"/>
  <c r="K53" i="26"/>
  <c r="K38" i="26"/>
  <c r="J22" i="26"/>
  <c r="J37" i="26" s="1"/>
  <c r="AI47" i="20"/>
  <c r="AI92" i="20" s="1"/>
  <c r="AB53" i="26"/>
  <c r="AB38" i="26"/>
  <c r="L47" i="20"/>
  <c r="L92" i="20" s="1"/>
  <c r="N47" i="20"/>
  <c r="N92" i="20" s="1"/>
  <c r="I47" i="20"/>
  <c r="I92" i="20" s="1"/>
  <c r="AG47" i="20"/>
  <c r="AG92" i="20" s="1"/>
  <c r="AD47" i="20"/>
  <c r="AD92" i="20" s="1"/>
  <c r="Q53" i="26"/>
  <c r="Q38" i="26"/>
  <c r="AL53" i="26"/>
  <c r="AL38" i="26"/>
  <c r="X47" i="20"/>
  <c r="X92" i="20" s="1"/>
  <c r="AB47" i="20"/>
  <c r="AB92" i="20" s="1"/>
  <c r="AC47" i="20"/>
  <c r="AC92" i="20" s="1"/>
  <c r="M53" i="26"/>
  <c r="M38" i="26"/>
  <c r="J62" i="29"/>
  <c r="X65" i="29"/>
  <c r="N65" i="29"/>
  <c r="O65" i="29"/>
  <c r="S65" i="29"/>
  <c r="P65" i="29"/>
  <c r="Q65" i="29"/>
  <c r="W65" i="29"/>
  <c r="U65" i="29"/>
  <c r="R65" i="29"/>
  <c r="V65" i="29"/>
  <c r="M65" i="29"/>
  <c r="T65" i="29"/>
  <c r="O47" i="20"/>
  <c r="O92" i="20" s="1"/>
  <c r="U47" i="20"/>
  <c r="U92" i="20" s="1"/>
  <c r="AA47" i="20"/>
  <c r="AA92" i="20" s="1"/>
  <c r="C34" i="26"/>
  <c r="I22" i="26"/>
  <c r="I37" i="26" s="1"/>
  <c r="AI53" i="26"/>
  <c r="AI38" i="26"/>
  <c r="AJ47" i="20"/>
  <c r="AJ92" i="20" s="1"/>
  <c r="V47" i="20"/>
  <c r="V92" i="20" s="1"/>
  <c r="M47" i="20"/>
  <c r="M92" i="20" s="1"/>
  <c r="T47" i="20"/>
  <c r="T92" i="20" s="1"/>
  <c r="K47" i="20"/>
  <c r="K92" i="20" s="1"/>
  <c r="N30" i="29"/>
  <c r="J30" i="29"/>
  <c r="L30" i="29"/>
  <c r="P30" i="29"/>
  <c r="C9" i="29"/>
  <c r="K30" i="29"/>
  <c r="Q30" i="29"/>
  <c r="E27" i="29"/>
  <c r="H30" i="29"/>
  <c r="H23" i="29" s="1"/>
  <c r="H65" i="30" s="1"/>
  <c r="R30" i="29"/>
  <c r="I30" i="29"/>
  <c r="S30" i="29"/>
  <c r="M30" i="29"/>
  <c r="O30" i="29"/>
  <c r="G22" i="26"/>
  <c r="G37" i="26" s="1"/>
  <c r="T37" i="29"/>
  <c r="F34" i="29"/>
  <c r="K37" i="29"/>
  <c r="N37" i="29"/>
  <c r="L37" i="29"/>
  <c r="S37" i="29"/>
  <c r="I37" i="29"/>
  <c r="Q37" i="29"/>
  <c r="J37" i="29"/>
  <c r="O37" i="29"/>
  <c r="M37" i="29"/>
  <c r="P37" i="29"/>
  <c r="R37" i="29"/>
  <c r="AG53" i="26"/>
  <c r="AG38" i="26"/>
  <c r="R47" i="20"/>
  <c r="R92" i="20" s="1"/>
  <c r="Y47" i="20"/>
  <c r="Y92" i="20" s="1"/>
  <c r="Q47" i="20"/>
  <c r="Q92" i="20" s="1"/>
  <c r="U51" i="29"/>
  <c r="T51" i="29"/>
  <c r="O51" i="29"/>
  <c r="P51" i="29"/>
  <c r="R51" i="29"/>
  <c r="M51" i="29"/>
  <c r="L51" i="29"/>
  <c r="K51" i="29"/>
  <c r="Q51" i="29"/>
  <c r="V51" i="29"/>
  <c r="N51" i="29"/>
  <c r="H48" i="29"/>
  <c r="S51" i="29"/>
  <c r="AC53" i="26"/>
  <c r="AC38" i="26"/>
  <c r="H42" i="30" l="1"/>
  <c r="J38" i="30"/>
  <c r="J56" i="30"/>
  <c r="E42" i="30"/>
  <c r="H38" i="30"/>
  <c r="C37" i="30"/>
  <c r="H38" i="26"/>
  <c r="C22" i="30"/>
  <c r="I38" i="30"/>
  <c r="I56" i="30"/>
  <c r="AL40" i="26"/>
  <c r="AL42" i="26" s="1"/>
  <c r="AL75" i="26" s="1"/>
  <c r="X23" i="29"/>
  <c r="X65" i="30" s="1"/>
  <c r="G40" i="26"/>
  <c r="G42" i="26" s="1"/>
  <c r="H40" i="26"/>
  <c r="H42" i="26" s="1"/>
  <c r="H43" i="26" s="1"/>
  <c r="AI40" i="30"/>
  <c r="AI42" i="30" s="1"/>
  <c r="V23" i="29"/>
  <c r="V65" i="30" s="1"/>
  <c r="AG40" i="26"/>
  <c r="AG42" i="26" s="1"/>
  <c r="AG75" i="26" s="1"/>
  <c r="I23" i="29"/>
  <c r="I65" i="30" s="1"/>
  <c r="O23" i="29"/>
  <c r="O65" i="30" s="1"/>
  <c r="K23" i="29"/>
  <c r="K65" i="30" s="1"/>
  <c r="N40" i="30"/>
  <c r="N42" i="30" s="1"/>
  <c r="N40" i="26"/>
  <c r="N42" i="26" s="1"/>
  <c r="AC40" i="30"/>
  <c r="AC42" i="30" s="1"/>
  <c r="AC40" i="26"/>
  <c r="AC42" i="26" s="1"/>
  <c r="X40" i="30"/>
  <c r="X42" i="30" s="1"/>
  <c r="X40" i="26"/>
  <c r="X42" i="26" s="1"/>
  <c r="W23" i="29"/>
  <c r="W65" i="30" s="1"/>
  <c r="AA40" i="30"/>
  <c r="AA42" i="30" s="1"/>
  <c r="AA40" i="26"/>
  <c r="AA42" i="26" s="1"/>
  <c r="M23" i="29"/>
  <c r="M65" i="30" s="1"/>
  <c r="W40" i="30"/>
  <c r="W42" i="30" s="1"/>
  <c r="W40" i="26"/>
  <c r="W42" i="26" s="1"/>
  <c r="Y40" i="30"/>
  <c r="Y42" i="30" s="1"/>
  <c r="Y40" i="26"/>
  <c r="Y42" i="26" s="1"/>
  <c r="I20" i="29"/>
  <c r="I63" i="30" s="1"/>
  <c r="I56" i="29"/>
  <c r="I57" i="29" s="1"/>
  <c r="T40" i="30"/>
  <c r="T42" i="30" s="1"/>
  <c r="T40" i="26"/>
  <c r="T42" i="26" s="1"/>
  <c r="R40" i="30"/>
  <c r="R42" i="30" s="1"/>
  <c r="R40" i="26"/>
  <c r="R42" i="26" s="1"/>
  <c r="S23" i="29"/>
  <c r="S65" i="30" s="1"/>
  <c r="P23" i="29"/>
  <c r="P65" i="30" s="1"/>
  <c r="AK40" i="30"/>
  <c r="AK42" i="30" s="1"/>
  <c r="AK40" i="26"/>
  <c r="AK42" i="26" s="1"/>
  <c r="AB40" i="30"/>
  <c r="AB42" i="30" s="1"/>
  <c r="AB40" i="26"/>
  <c r="AB42" i="26" s="1"/>
  <c r="J20" i="29"/>
  <c r="J63" i="30" s="1"/>
  <c r="J63" i="29"/>
  <c r="J64" i="29" s="1"/>
  <c r="I40" i="30"/>
  <c r="I42" i="30" s="1"/>
  <c r="I40" i="26"/>
  <c r="I42" i="26" s="1"/>
  <c r="U23" i="29"/>
  <c r="U65" i="30" s="1"/>
  <c r="L23" i="29"/>
  <c r="L65" i="30" s="1"/>
  <c r="V40" i="30"/>
  <c r="V42" i="30" s="1"/>
  <c r="V40" i="26"/>
  <c r="V42" i="26" s="1"/>
  <c r="AE40" i="30"/>
  <c r="AE42" i="30" s="1"/>
  <c r="AE40" i="26"/>
  <c r="AE42" i="26" s="1"/>
  <c r="AJ40" i="30"/>
  <c r="AJ42" i="30" s="1"/>
  <c r="AJ40" i="26"/>
  <c r="AJ42" i="26" s="1"/>
  <c r="K20" i="29"/>
  <c r="K63" i="30" s="1"/>
  <c r="K70" i="29"/>
  <c r="K71" i="29" s="1"/>
  <c r="Q40" i="30"/>
  <c r="Q42" i="30" s="1"/>
  <c r="Q40" i="26"/>
  <c r="Q42" i="26" s="1"/>
  <c r="Z40" i="30"/>
  <c r="Z42" i="30" s="1"/>
  <c r="Z40" i="26"/>
  <c r="Z42" i="26" s="1"/>
  <c r="S40" i="30"/>
  <c r="S42" i="30" s="1"/>
  <c r="S40" i="26"/>
  <c r="S42" i="26" s="1"/>
  <c r="F20" i="29"/>
  <c r="F63" i="30" s="1"/>
  <c r="F35" i="29"/>
  <c r="F36" i="29" s="1"/>
  <c r="R23" i="29"/>
  <c r="R65" i="30" s="1"/>
  <c r="J23" i="29"/>
  <c r="J65" i="30" s="1"/>
  <c r="P40" i="30"/>
  <c r="P42" i="30" s="1"/>
  <c r="P40" i="26"/>
  <c r="P42" i="26" s="1"/>
  <c r="AH40" i="30"/>
  <c r="AH42" i="30" s="1"/>
  <c r="AH40" i="26"/>
  <c r="AH42" i="26" s="1"/>
  <c r="J53" i="26"/>
  <c r="J38" i="26"/>
  <c r="AM75" i="26"/>
  <c r="AM43" i="26"/>
  <c r="K40" i="30"/>
  <c r="K42" i="30" s="1"/>
  <c r="K40" i="26"/>
  <c r="K42" i="26" s="1"/>
  <c r="AF40" i="30"/>
  <c r="AF42" i="30" s="1"/>
  <c r="AF40" i="26"/>
  <c r="AF42" i="26" s="1"/>
  <c r="H20" i="29"/>
  <c r="H63" i="30" s="1"/>
  <c r="H49" i="29"/>
  <c r="H50" i="29" s="1"/>
  <c r="T23" i="29"/>
  <c r="T65" i="30" s="1"/>
  <c r="N23" i="29"/>
  <c r="N65" i="30" s="1"/>
  <c r="AI75" i="26"/>
  <c r="AI43" i="26"/>
  <c r="J40" i="30"/>
  <c r="J42" i="30" s="1"/>
  <c r="J40" i="26"/>
  <c r="J42" i="26" s="1"/>
  <c r="G53" i="26"/>
  <c r="G38" i="26"/>
  <c r="E28" i="29"/>
  <c r="E20" i="29"/>
  <c r="E63" i="30" s="1"/>
  <c r="L40" i="30"/>
  <c r="L42" i="30" s="1"/>
  <c r="L40" i="26"/>
  <c r="L42" i="26" s="1"/>
  <c r="O40" i="30"/>
  <c r="O42" i="30" s="1"/>
  <c r="O40" i="26"/>
  <c r="O42" i="26" s="1"/>
  <c r="F40" i="30"/>
  <c r="F40" i="26"/>
  <c r="G20" i="29"/>
  <c r="G63" i="30" s="1"/>
  <c r="G42" i="29"/>
  <c r="G43" i="29" s="1"/>
  <c r="E42" i="26"/>
  <c r="C37" i="26"/>
  <c r="E53" i="26"/>
  <c r="Q23" i="29"/>
  <c r="Q65" i="30" s="1"/>
  <c r="U40" i="30"/>
  <c r="U42" i="30" s="1"/>
  <c r="U40" i="26"/>
  <c r="U42" i="26" s="1"/>
  <c r="I53" i="26"/>
  <c r="I38" i="26"/>
  <c r="AD40" i="30"/>
  <c r="AD42" i="30" s="1"/>
  <c r="AD40" i="26"/>
  <c r="AD42" i="26" s="1"/>
  <c r="M40" i="30"/>
  <c r="M42" i="30" s="1"/>
  <c r="M40" i="26"/>
  <c r="M42" i="26" s="1"/>
  <c r="C47" i="20"/>
  <c r="C92" i="20" s="1"/>
  <c r="C22" i="26"/>
  <c r="C56" i="30" l="1"/>
  <c r="AL43" i="26"/>
  <c r="H75" i="26"/>
  <c r="H78" i="26" s="1"/>
  <c r="AG43" i="26"/>
  <c r="C65" i="30"/>
  <c r="I47" i="29"/>
  <c r="I49" i="29" s="1"/>
  <c r="I50" i="29" s="1"/>
  <c r="J75" i="26"/>
  <c r="J43" i="26"/>
  <c r="U75" i="26"/>
  <c r="U43" i="26"/>
  <c r="C40" i="30"/>
  <c r="F42" i="30"/>
  <c r="E29" i="29"/>
  <c r="E21" i="29"/>
  <c r="E44" i="30" s="1"/>
  <c r="AJ75" i="26"/>
  <c r="AJ43" i="26"/>
  <c r="R75" i="26"/>
  <c r="R43" i="26"/>
  <c r="Y75" i="26"/>
  <c r="Y43" i="26"/>
  <c r="X75" i="26"/>
  <c r="X43" i="26"/>
  <c r="K75" i="26"/>
  <c r="K43" i="26"/>
  <c r="AH75" i="26"/>
  <c r="AH43" i="26"/>
  <c r="G75" i="26"/>
  <c r="G43" i="26"/>
  <c r="G33" i="29"/>
  <c r="Q75" i="26"/>
  <c r="Q43" i="26"/>
  <c r="AE75" i="26"/>
  <c r="AE43" i="26"/>
  <c r="AB75" i="26"/>
  <c r="AB43" i="26"/>
  <c r="T75" i="26"/>
  <c r="T43" i="26"/>
  <c r="W75" i="26"/>
  <c r="W43" i="26"/>
  <c r="AC75" i="26"/>
  <c r="AC43" i="26"/>
  <c r="H40" i="29"/>
  <c r="S75" i="26"/>
  <c r="S43" i="26"/>
  <c r="E75" i="26"/>
  <c r="P75" i="26"/>
  <c r="P43" i="26"/>
  <c r="AK75" i="26"/>
  <c r="AK43" i="26"/>
  <c r="N75" i="26"/>
  <c r="N43" i="26"/>
  <c r="L75" i="26"/>
  <c r="L43" i="26"/>
  <c r="Z75" i="26"/>
  <c r="Z43" i="26"/>
  <c r="L68" i="29"/>
  <c r="J54" i="29"/>
  <c r="AA75" i="26"/>
  <c r="AA43" i="26"/>
  <c r="M75" i="26"/>
  <c r="M43" i="26"/>
  <c r="O75" i="26"/>
  <c r="O43" i="26"/>
  <c r="AD75" i="26"/>
  <c r="AD43" i="26"/>
  <c r="I75" i="26"/>
  <c r="I43" i="26"/>
  <c r="C53" i="26"/>
  <c r="C40" i="26"/>
  <c r="F42" i="26"/>
  <c r="C42" i="26" s="1"/>
  <c r="C63" i="30"/>
  <c r="AF75" i="26"/>
  <c r="AF43" i="26"/>
  <c r="V75" i="26"/>
  <c r="V43" i="26"/>
  <c r="K61" i="29"/>
  <c r="H77" i="26" l="1"/>
  <c r="G78" i="26"/>
  <c r="G77" i="26"/>
  <c r="C42" i="30"/>
  <c r="H46" i="26"/>
  <c r="H47" i="26"/>
  <c r="E76" i="26"/>
  <c r="E77" i="26"/>
  <c r="E78" i="26"/>
  <c r="J56" i="29"/>
  <c r="J57" i="29" s="1"/>
  <c r="G35" i="29"/>
  <c r="G36" i="29" s="1"/>
  <c r="I77" i="26"/>
  <c r="I78" i="26"/>
  <c r="F75" i="26"/>
  <c r="L70" i="29"/>
  <c r="L71" i="29" s="1"/>
  <c r="J47" i="29"/>
  <c r="K63" i="29"/>
  <c r="K64" i="29" s="1"/>
  <c r="E46" i="30"/>
  <c r="H42" i="29"/>
  <c r="H43" i="29" s="1"/>
  <c r="E22" i="29"/>
  <c r="E64" i="30" s="1"/>
  <c r="F26" i="29"/>
  <c r="I40" i="29" l="1"/>
  <c r="M68" i="29"/>
  <c r="E82" i="30"/>
  <c r="I46" i="26"/>
  <c r="I47" i="26"/>
  <c r="E47" i="26"/>
  <c r="E46" i="26"/>
  <c r="F78" i="26"/>
  <c r="F77" i="26"/>
  <c r="K54" i="29"/>
  <c r="F19" i="29"/>
  <c r="F28" i="29"/>
  <c r="L61" i="29"/>
  <c r="F76" i="26"/>
  <c r="H45" i="26"/>
  <c r="G47" i="26"/>
  <c r="G46" i="26"/>
  <c r="E88" i="30"/>
  <c r="E62" i="30"/>
  <c r="J49" i="29"/>
  <c r="J50" i="29" s="1"/>
  <c r="K47" i="29" s="1"/>
  <c r="H33" i="29"/>
  <c r="G45" i="26" l="1"/>
  <c r="G49" i="26" s="1"/>
  <c r="I45" i="26"/>
  <c r="I54" i="26" s="1"/>
  <c r="I52" i="26" s="1"/>
  <c r="E83" i="30"/>
  <c r="E84" i="30"/>
  <c r="E85" i="30"/>
  <c r="H35" i="29"/>
  <c r="H36" i="29" s="1"/>
  <c r="H54" i="26"/>
  <c r="H52" i="26" s="1"/>
  <c r="H49" i="26"/>
  <c r="F47" i="26"/>
  <c r="F46" i="26"/>
  <c r="M70" i="29"/>
  <c r="M71" i="29" s="1"/>
  <c r="G76" i="26"/>
  <c r="H76" i="26" s="1"/>
  <c r="I76" i="26" s="1"/>
  <c r="J76" i="26" s="1"/>
  <c r="E45" i="26"/>
  <c r="K56" i="29"/>
  <c r="K57" i="29" s="1"/>
  <c r="K49" i="29"/>
  <c r="K50" i="29" s="1"/>
  <c r="L47" i="29" s="1"/>
  <c r="L63" i="29"/>
  <c r="L64" i="29" s="1"/>
  <c r="M61" i="29" s="1"/>
  <c r="F29" i="29"/>
  <c r="F21" i="29"/>
  <c r="F44" i="30" s="1"/>
  <c r="I42" i="29"/>
  <c r="I43" i="29" s="1"/>
  <c r="J40" i="29" s="1"/>
  <c r="J77" i="26" l="1"/>
  <c r="J78" i="26" s="1"/>
  <c r="G54" i="26"/>
  <c r="G52" i="26" s="1"/>
  <c r="G94" i="26" s="1"/>
  <c r="F45" i="26"/>
  <c r="F49" i="26" s="1"/>
  <c r="I49" i="26"/>
  <c r="I33" i="29"/>
  <c r="I35" i="29" s="1"/>
  <c r="I36" i="29" s="1"/>
  <c r="M63" i="29"/>
  <c r="M64" i="29" s="1"/>
  <c r="H94" i="26"/>
  <c r="H59" i="26"/>
  <c r="H85" i="26" s="1"/>
  <c r="H86" i="26" s="1"/>
  <c r="E50" i="30"/>
  <c r="E49" i="30"/>
  <c r="F46" i="30"/>
  <c r="N68" i="29"/>
  <c r="J42" i="29"/>
  <c r="J43" i="29" s="1"/>
  <c r="L49" i="29"/>
  <c r="L50" i="29" s="1"/>
  <c r="F22" i="29"/>
  <c r="F64" i="30" s="1"/>
  <c r="G26" i="29"/>
  <c r="L54" i="29"/>
  <c r="E54" i="26"/>
  <c r="E49" i="26"/>
  <c r="I59" i="26"/>
  <c r="I85" i="26" s="1"/>
  <c r="I86" i="26" s="1"/>
  <c r="I94" i="26"/>
  <c r="J46" i="26" l="1"/>
  <c r="J47" i="26"/>
  <c r="K76" i="26"/>
  <c r="K77" i="26" s="1"/>
  <c r="K78" i="26" s="1"/>
  <c r="K47" i="26" s="1"/>
  <c r="G59" i="26"/>
  <c r="G85" i="26" s="1"/>
  <c r="G86" i="26" s="1"/>
  <c r="F54" i="26"/>
  <c r="F52" i="26" s="1"/>
  <c r="F59" i="26" s="1"/>
  <c r="F85" i="26" s="1"/>
  <c r="F86" i="26" s="1"/>
  <c r="N70" i="29"/>
  <c r="N71" i="29" s="1"/>
  <c r="O68" i="29" s="1"/>
  <c r="J33" i="29"/>
  <c r="F82" i="30"/>
  <c r="K40" i="29"/>
  <c r="L56" i="29"/>
  <c r="L57" i="29" s="1"/>
  <c r="E52" i="26"/>
  <c r="G28" i="29"/>
  <c r="G19" i="29"/>
  <c r="N61" i="29"/>
  <c r="F88" i="30"/>
  <c r="F62" i="30"/>
  <c r="M47" i="29"/>
  <c r="E48" i="30"/>
  <c r="J45" i="26" l="1"/>
  <c r="J49" i="26" s="1"/>
  <c r="K46" i="26"/>
  <c r="K45" i="26" s="1"/>
  <c r="L76" i="26"/>
  <c r="L77" i="26" s="1"/>
  <c r="L78" i="26" s="1"/>
  <c r="F94" i="26"/>
  <c r="K42" i="29"/>
  <c r="K43" i="29" s="1"/>
  <c r="F85" i="30"/>
  <c r="F84" i="30"/>
  <c r="F83" i="30"/>
  <c r="N63" i="29"/>
  <c r="N64" i="29" s="1"/>
  <c r="G21" i="29"/>
  <c r="G44" i="30" s="1"/>
  <c r="G29" i="29"/>
  <c r="M54" i="29"/>
  <c r="J35" i="29"/>
  <c r="J36" i="29" s="1"/>
  <c r="K33" i="29" s="1"/>
  <c r="O70" i="29"/>
  <c r="O71" i="29" s="1"/>
  <c r="E57" i="30"/>
  <c r="E52" i="30"/>
  <c r="M49" i="29"/>
  <c r="M50" i="29" s="1"/>
  <c r="E94" i="26"/>
  <c r="E59" i="26"/>
  <c r="J54" i="26" l="1"/>
  <c r="J52" i="26" s="1"/>
  <c r="J94" i="26" s="1"/>
  <c r="O61" i="29"/>
  <c r="O63" i="29" s="1"/>
  <c r="O64" i="29" s="1"/>
  <c r="K35" i="29"/>
  <c r="K36" i="29" s="1"/>
  <c r="L33" i="29" s="1"/>
  <c r="F49" i="30"/>
  <c r="F50" i="30"/>
  <c r="L47" i="26"/>
  <c r="L46" i="26"/>
  <c r="E55" i="30"/>
  <c r="E87" i="30"/>
  <c r="G22" i="29"/>
  <c r="G64" i="30" s="1"/>
  <c r="H26" i="29"/>
  <c r="M76" i="26"/>
  <c r="N47" i="29"/>
  <c r="G46" i="30"/>
  <c r="E85" i="26"/>
  <c r="E60" i="26"/>
  <c r="K54" i="26"/>
  <c r="K49" i="26"/>
  <c r="M56" i="29"/>
  <c r="M57" i="29" s="1"/>
  <c r="P68" i="29"/>
  <c r="L40" i="29"/>
  <c r="J59" i="26" l="1"/>
  <c r="J85" i="26" s="1"/>
  <c r="J86" i="26" s="1"/>
  <c r="N54" i="29"/>
  <c r="N56" i="29" s="1"/>
  <c r="N57" i="29" s="1"/>
  <c r="O54" i="29" s="1"/>
  <c r="K52" i="26"/>
  <c r="E66" i="30"/>
  <c r="L45" i="26"/>
  <c r="N49" i="29"/>
  <c r="N50" i="29" s="1"/>
  <c r="M77" i="26"/>
  <c r="M78" i="26" s="1"/>
  <c r="P70" i="29"/>
  <c r="P71" i="29" s="1"/>
  <c r="H19" i="29"/>
  <c r="H28" i="29"/>
  <c r="F48" i="30"/>
  <c r="P61" i="29"/>
  <c r="E86" i="26"/>
  <c r="G88" i="30"/>
  <c r="G62" i="30"/>
  <c r="L35" i="29"/>
  <c r="L36" i="29" s="1"/>
  <c r="L42" i="29"/>
  <c r="L43" i="29" s="1"/>
  <c r="G82" i="30"/>
  <c r="F60" i="26"/>
  <c r="E61" i="26"/>
  <c r="M40" i="29" l="1"/>
  <c r="M42" i="29" s="1"/>
  <c r="M43" i="29" s="1"/>
  <c r="O47" i="29"/>
  <c r="P63" i="29"/>
  <c r="P64" i="29" s="1"/>
  <c r="L54" i="26"/>
  <c r="L49" i="26"/>
  <c r="M46" i="26"/>
  <c r="M47" i="26"/>
  <c r="Q68" i="29"/>
  <c r="M33" i="29"/>
  <c r="F57" i="30"/>
  <c r="F52" i="30"/>
  <c r="N76" i="26"/>
  <c r="E119" i="30"/>
  <c r="E67" i="30"/>
  <c r="G85" i="30"/>
  <c r="G84" i="30"/>
  <c r="G83" i="30"/>
  <c r="F61" i="26"/>
  <c r="G60" i="26"/>
  <c r="H29" i="29"/>
  <c r="H22" i="29" s="1"/>
  <c r="H64" i="30" s="1"/>
  <c r="H21" i="29"/>
  <c r="H44" i="30" s="1"/>
  <c r="O56" i="29"/>
  <c r="O57" i="29" s="1"/>
  <c r="K59" i="26"/>
  <c r="K94" i="26"/>
  <c r="N40" i="29" l="1"/>
  <c r="N42" i="29" s="1"/>
  <c r="N43" i="29" s="1"/>
  <c r="O40" i="29" s="1"/>
  <c r="G50" i="30"/>
  <c r="G49" i="30"/>
  <c r="F87" i="30"/>
  <c r="F55" i="30"/>
  <c r="H46" i="30"/>
  <c r="E68" i="30"/>
  <c r="M35" i="29"/>
  <c r="M36" i="29" s="1"/>
  <c r="L52" i="26"/>
  <c r="H88" i="30"/>
  <c r="H62" i="30"/>
  <c r="E120" i="30"/>
  <c r="Q70" i="29"/>
  <c r="Q71" i="29" s="1"/>
  <c r="R68" i="29" s="1"/>
  <c r="P54" i="29"/>
  <c r="H60" i="26"/>
  <c r="G61" i="26"/>
  <c r="Q61" i="29"/>
  <c r="M45" i="26"/>
  <c r="K85" i="26"/>
  <c r="I26" i="29"/>
  <c r="N77" i="26"/>
  <c r="N78" i="26" s="1"/>
  <c r="O49" i="29"/>
  <c r="O50" i="29" s="1"/>
  <c r="P47" i="29" l="1"/>
  <c r="P49" i="29" s="1"/>
  <c r="P50" i="29" s="1"/>
  <c r="R70" i="29"/>
  <c r="R71" i="29" s="1"/>
  <c r="K86" i="26"/>
  <c r="F66" i="30"/>
  <c r="N33" i="29"/>
  <c r="L94" i="26"/>
  <c r="L59" i="26"/>
  <c r="Q63" i="29"/>
  <c r="Q64" i="29" s="1"/>
  <c r="G48" i="30"/>
  <c r="M54" i="26"/>
  <c r="M49" i="26"/>
  <c r="H61" i="26"/>
  <c r="I60" i="26"/>
  <c r="O42" i="29"/>
  <c r="O43" i="29" s="1"/>
  <c r="N47" i="26"/>
  <c r="N46" i="26"/>
  <c r="O76" i="26"/>
  <c r="I28" i="29"/>
  <c r="I19" i="29"/>
  <c r="P56" i="29"/>
  <c r="P57" i="29" s="1"/>
  <c r="H82" i="30"/>
  <c r="S68" i="29" l="1"/>
  <c r="S70" i="29" s="1"/>
  <c r="S71" i="29" s="1"/>
  <c r="T68" i="29" s="1"/>
  <c r="N45" i="26"/>
  <c r="N49" i="26" s="1"/>
  <c r="Q54" i="29"/>
  <c r="G57" i="30"/>
  <c r="G52" i="30"/>
  <c r="F119" i="30"/>
  <c r="F67" i="30"/>
  <c r="I21" i="29"/>
  <c r="I44" i="30" s="1"/>
  <c r="I29" i="29"/>
  <c r="I22" i="29" s="1"/>
  <c r="I64" i="30" s="1"/>
  <c r="J60" i="26"/>
  <c r="I61" i="26"/>
  <c r="H84" i="30"/>
  <c r="H85" i="30"/>
  <c r="H83" i="30"/>
  <c r="L85" i="26"/>
  <c r="Q47" i="29"/>
  <c r="R61" i="29"/>
  <c r="O77" i="26"/>
  <c r="O78" i="26" s="1"/>
  <c r="P40" i="29"/>
  <c r="M52" i="26"/>
  <c r="N35" i="29"/>
  <c r="N36" i="29" s="1"/>
  <c r="Q56" i="29"/>
  <c r="Q57" i="29" s="1"/>
  <c r="N54" i="26" l="1"/>
  <c r="N52" i="26" s="1"/>
  <c r="N59" i="26" s="1"/>
  <c r="N85" i="26" s="1"/>
  <c r="N86" i="26" s="1"/>
  <c r="J26" i="29"/>
  <c r="J28" i="29" s="1"/>
  <c r="H49" i="30"/>
  <c r="H50" i="30"/>
  <c r="M94" i="26"/>
  <c r="M59" i="26"/>
  <c r="P42" i="29"/>
  <c r="P43" i="29" s="1"/>
  <c r="J61" i="26"/>
  <c r="K60" i="26"/>
  <c r="F120" i="30"/>
  <c r="R54" i="29"/>
  <c r="I88" i="30"/>
  <c r="I62" i="30"/>
  <c r="T70" i="29"/>
  <c r="T71" i="29" s="1"/>
  <c r="R63" i="29"/>
  <c r="R64" i="29" s="1"/>
  <c r="S61" i="29" s="1"/>
  <c r="L86" i="26"/>
  <c r="I46" i="30"/>
  <c r="G87" i="30"/>
  <c r="G55" i="30"/>
  <c r="O46" i="26"/>
  <c r="O47" i="26"/>
  <c r="P76" i="26"/>
  <c r="O33" i="29"/>
  <c r="Q49" i="29"/>
  <c r="Q50" i="29" s="1"/>
  <c r="F68" i="30"/>
  <c r="J19" i="29" l="1"/>
  <c r="N94" i="26"/>
  <c r="O45" i="26"/>
  <c r="O49" i="26" s="1"/>
  <c r="U68" i="29"/>
  <c r="U70" i="29" s="1"/>
  <c r="U71" i="29" s="1"/>
  <c r="Q40" i="29"/>
  <c r="Q42" i="29" s="1"/>
  <c r="S63" i="29"/>
  <c r="S64" i="29" s="1"/>
  <c r="R56" i="29"/>
  <c r="R57" i="29" s="1"/>
  <c r="S54" i="29" s="1"/>
  <c r="M85" i="26"/>
  <c r="O35" i="29"/>
  <c r="O36" i="29" s="1"/>
  <c r="K61" i="26"/>
  <c r="L60" i="26"/>
  <c r="P77" i="26"/>
  <c r="P78" i="26" s="1"/>
  <c r="J29" i="29"/>
  <c r="J21" i="29"/>
  <c r="J44" i="30" s="1"/>
  <c r="J46" i="30" s="1"/>
  <c r="R47" i="29"/>
  <c r="G66" i="30"/>
  <c r="I82" i="30"/>
  <c r="H48" i="30"/>
  <c r="T61" i="29" l="1"/>
  <c r="T63" i="29" s="1"/>
  <c r="T64" i="29" s="1"/>
  <c r="O54" i="26"/>
  <c r="O52" i="26" s="1"/>
  <c r="Q43" i="29"/>
  <c r="R40" i="29" s="1"/>
  <c r="R42" i="29" s="1"/>
  <c r="R43" i="29" s="1"/>
  <c r="G119" i="30"/>
  <c r="G67" i="30"/>
  <c r="M86" i="26"/>
  <c r="R49" i="29"/>
  <c r="R50" i="29" s="1"/>
  <c r="P33" i="29"/>
  <c r="S56" i="29"/>
  <c r="S57" i="29" s="1"/>
  <c r="H57" i="30"/>
  <c r="H52" i="30"/>
  <c r="J82" i="30"/>
  <c r="J22" i="29"/>
  <c r="J64" i="30" s="1"/>
  <c r="K26" i="29"/>
  <c r="V68" i="29"/>
  <c r="P47" i="26"/>
  <c r="P46" i="26"/>
  <c r="Q76" i="26"/>
  <c r="I84" i="30"/>
  <c r="I85" i="30"/>
  <c r="I83" i="30"/>
  <c r="M60" i="26"/>
  <c r="L61" i="26"/>
  <c r="P45" i="26" l="1"/>
  <c r="P49" i="26" s="1"/>
  <c r="J83" i="30"/>
  <c r="S47" i="29"/>
  <c r="S49" i="29" s="1"/>
  <c r="S50" i="29" s="1"/>
  <c r="I50" i="30"/>
  <c r="I49" i="30"/>
  <c r="K28" i="29"/>
  <c r="K19" i="29"/>
  <c r="H55" i="30"/>
  <c r="H87" i="30"/>
  <c r="G68" i="30"/>
  <c r="J88" i="30"/>
  <c r="J62" i="30"/>
  <c r="O94" i="26"/>
  <c r="O59" i="26"/>
  <c r="J85" i="30"/>
  <c r="J84" i="30"/>
  <c r="T54" i="29"/>
  <c r="V70" i="29"/>
  <c r="V71" i="29" s="1"/>
  <c r="P35" i="29"/>
  <c r="P36" i="29" s="1"/>
  <c r="U61" i="29"/>
  <c r="Q77" i="26"/>
  <c r="Q78" i="26" s="1"/>
  <c r="N60" i="26"/>
  <c r="M61" i="26"/>
  <c r="S40" i="29"/>
  <c r="G120" i="30"/>
  <c r="P54" i="26" l="1"/>
  <c r="P52" i="26" s="1"/>
  <c r="P94" i="26" s="1"/>
  <c r="W68" i="29"/>
  <c r="T47" i="29"/>
  <c r="T49" i="29" s="1"/>
  <c r="T50" i="29" s="1"/>
  <c r="O85" i="26"/>
  <c r="H66" i="30"/>
  <c r="Q46" i="26"/>
  <c r="Q47" i="26"/>
  <c r="K21" i="29"/>
  <c r="K44" i="30" s="1"/>
  <c r="K46" i="30" s="1"/>
  <c r="K29" i="29"/>
  <c r="K22" i="29" s="1"/>
  <c r="K64" i="30" s="1"/>
  <c r="R76" i="26"/>
  <c r="U63" i="29"/>
  <c r="U64" i="29" s="1"/>
  <c r="T56" i="29"/>
  <c r="T57" i="29" s="1"/>
  <c r="I48" i="30"/>
  <c r="W70" i="29"/>
  <c r="W71" i="29" s="1"/>
  <c r="Q33" i="29"/>
  <c r="J49" i="30"/>
  <c r="J50" i="30"/>
  <c r="N61" i="26"/>
  <c r="O60" i="26"/>
  <c r="S42" i="29"/>
  <c r="S43" i="29" s="1"/>
  <c r="P59" i="26" l="1"/>
  <c r="P85" i="26" s="1"/>
  <c r="P86" i="26" s="1"/>
  <c r="L26" i="29"/>
  <c r="Q45" i="26"/>
  <c r="Q49" i="26" s="1"/>
  <c r="V61" i="29"/>
  <c r="V63" i="29" s="1"/>
  <c r="V64" i="29" s="1"/>
  <c r="W61" i="29" s="1"/>
  <c r="O61" i="26"/>
  <c r="L28" i="29"/>
  <c r="L19" i="29"/>
  <c r="H119" i="30"/>
  <c r="H67" i="30"/>
  <c r="X68" i="29"/>
  <c r="K88" i="30"/>
  <c r="K62" i="30"/>
  <c r="R77" i="26"/>
  <c r="R78" i="26" s="1"/>
  <c r="K82" i="30"/>
  <c r="O86" i="26"/>
  <c r="U47" i="29"/>
  <c r="J48" i="30"/>
  <c r="U54" i="29"/>
  <c r="I57" i="30"/>
  <c r="I52" i="30"/>
  <c r="T40" i="29"/>
  <c r="Q35" i="29"/>
  <c r="Q36" i="29" s="1"/>
  <c r="Q54" i="26"/>
  <c r="Q52" i="26" s="1"/>
  <c r="P60" i="26" l="1"/>
  <c r="P61" i="26" s="1"/>
  <c r="R33" i="29"/>
  <c r="R35" i="29" s="1"/>
  <c r="R36" i="29" s="1"/>
  <c r="S76" i="26"/>
  <c r="S77" i="26" s="1"/>
  <c r="S78" i="26" s="1"/>
  <c r="U56" i="29"/>
  <c r="U57" i="29" s="1"/>
  <c r="H120" i="30"/>
  <c r="J57" i="30"/>
  <c r="J52" i="30"/>
  <c r="X70" i="29"/>
  <c r="X71" i="29" s="1"/>
  <c r="L21" i="29"/>
  <c r="L44" i="30" s="1"/>
  <c r="L46" i="30" s="1"/>
  <c r="L29" i="29"/>
  <c r="Q94" i="26"/>
  <c r="Q59" i="26"/>
  <c r="Q85" i="26" s="1"/>
  <c r="Q86" i="26" s="1"/>
  <c r="U49" i="29"/>
  <c r="U50" i="29" s="1"/>
  <c r="T42" i="29"/>
  <c r="T43" i="29" s="1"/>
  <c r="H68" i="30"/>
  <c r="K83" i="30"/>
  <c r="K84" i="30" s="1"/>
  <c r="K85" i="30" s="1"/>
  <c r="W63" i="29"/>
  <c r="W64" i="29" s="1"/>
  <c r="I87" i="30"/>
  <c r="I55" i="30"/>
  <c r="R47" i="26"/>
  <c r="R46" i="26"/>
  <c r="R45" i="26" l="1"/>
  <c r="R49" i="26" s="1"/>
  <c r="V54" i="29"/>
  <c r="V56" i="29" s="1"/>
  <c r="V57" i="29" s="1"/>
  <c r="S33" i="29"/>
  <c r="V47" i="29"/>
  <c r="V49" i="29" s="1"/>
  <c r="V50" i="29" s="1"/>
  <c r="J55" i="30"/>
  <c r="J66" i="30" s="1"/>
  <c r="J119" i="30" s="1"/>
  <c r="J120" i="30" s="1"/>
  <c r="J87" i="30"/>
  <c r="X61" i="29"/>
  <c r="S35" i="29"/>
  <c r="S36" i="29" s="1"/>
  <c r="L22" i="29"/>
  <c r="L64" i="30" s="1"/>
  <c r="M26" i="29"/>
  <c r="S47" i="26"/>
  <c r="S46" i="26"/>
  <c r="U40" i="29"/>
  <c r="L82" i="30"/>
  <c r="L83" i="30" s="1"/>
  <c r="T76" i="26"/>
  <c r="I66" i="30"/>
  <c r="Q60" i="26"/>
  <c r="K49" i="30"/>
  <c r="K50" i="30"/>
  <c r="Y68" i="29"/>
  <c r="R54" i="26" l="1"/>
  <c r="R52" i="26" s="1"/>
  <c r="R94" i="26" s="1"/>
  <c r="W54" i="29"/>
  <c r="W56" i="29" s="1"/>
  <c r="W57" i="29" s="1"/>
  <c r="K48" i="30"/>
  <c r="K57" i="30" s="1"/>
  <c r="M28" i="29"/>
  <c r="M19" i="29"/>
  <c r="U42" i="29"/>
  <c r="U43" i="29" s="1"/>
  <c r="T33" i="29"/>
  <c r="L62" i="30"/>
  <c r="L88" i="30"/>
  <c r="W47" i="29"/>
  <c r="X63" i="29"/>
  <c r="X64" i="29" s="1"/>
  <c r="I119" i="30"/>
  <c r="I67" i="30"/>
  <c r="L84" i="30"/>
  <c r="L85" i="30" s="1"/>
  <c r="Y70" i="29"/>
  <c r="Y71" i="29" s="1"/>
  <c r="Q61" i="26"/>
  <c r="T77" i="26"/>
  <c r="T78" i="26" s="1"/>
  <c r="S45" i="26"/>
  <c r="K52" i="30" l="1"/>
  <c r="R59" i="26"/>
  <c r="R85" i="26" s="1"/>
  <c r="R86" i="26" s="1"/>
  <c r="Y61" i="29"/>
  <c r="X54" i="29"/>
  <c r="S54" i="26"/>
  <c r="S52" i="26" s="1"/>
  <c r="S49" i="26"/>
  <c r="U76" i="26"/>
  <c r="M29" i="29"/>
  <c r="M21" i="29"/>
  <c r="M44" i="30" s="1"/>
  <c r="M46" i="30" s="1"/>
  <c r="T35" i="29"/>
  <c r="T36" i="29" s="1"/>
  <c r="L50" i="30"/>
  <c r="L49" i="30"/>
  <c r="K87" i="30"/>
  <c r="K89" i="30" s="1"/>
  <c r="K55" i="30"/>
  <c r="K66" i="30" s="1"/>
  <c r="K119" i="30" s="1"/>
  <c r="K120" i="30" s="1"/>
  <c r="T46" i="26"/>
  <c r="T47" i="26"/>
  <c r="W49" i="29"/>
  <c r="W50" i="29" s="1"/>
  <c r="J67" i="30"/>
  <c r="I68" i="30"/>
  <c r="Z68" i="29"/>
  <c r="I120" i="30"/>
  <c r="V40" i="29"/>
  <c r="R60" i="26" l="1"/>
  <c r="T45" i="26"/>
  <c r="T49" i="26" s="1"/>
  <c r="L48" i="30"/>
  <c r="L57" i="30" s="1"/>
  <c r="M82" i="30"/>
  <c r="M22" i="29"/>
  <c r="M64" i="30" s="1"/>
  <c r="N26" i="29"/>
  <c r="U77" i="26"/>
  <c r="U78" i="26" s="1"/>
  <c r="K67" i="30"/>
  <c r="J68" i="30"/>
  <c r="S59" i="26"/>
  <c r="S85" i="26" s="1"/>
  <c r="S86" i="26" s="1"/>
  <c r="S94" i="26"/>
  <c r="X56" i="29"/>
  <c r="X57" i="29" s="1"/>
  <c r="Z70" i="29"/>
  <c r="Z71" i="29" s="1"/>
  <c r="V42" i="29"/>
  <c r="V43" i="29" s="1"/>
  <c r="W40" i="29" s="1"/>
  <c r="X47" i="29"/>
  <c r="U33" i="29"/>
  <c r="Y63" i="29"/>
  <c r="Y64" i="29" s="1"/>
  <c r="T54" i="26" l="1"/>
  <c r="T52" i="26" s="1"/>
  <c r="T59" i="26" s="1"/>
  <c r="T85" i="26" s="1"/>
  <c r="T86" i="26" s="1"/>
  <c r="Z61" i="29"/>
  <c r="Z63" i="29" s="1"/>
  <c r="Z64" i="29" s="1"/>
  <c r="S60" i="26"/>
  <c r="R61" i="26"/>
  <c r="L52" i="30"/>
  <c r="W42" i="29"/>
  <c r="W43" i="29" s="1"/>
  <c r="L55" i="30"/>
  <c r="L66" i="30" s="1"/>
  <c r="L119" i="30" s="1"/>
  <c r="L120" i="30" s="1"/>
  <c r="L87" i="30"/>
  <c r="L89" i="30" s="1"/>
  <c r="V76" i="26"/>
  <c r="U47" i="26"/>
  <c r="U46" i="26"/>
  <c r="N28" i="29"/>
  <c r="N19" i="29"/>
  <c r="K68" i="30"/>
  <c r="M88" i="30"/>
  <c r="M62" i="30"/>
  <c r="X49" i="29"/>
  <c r="X50" i="29" s="1"/>
  <c r="M83" i="30"/>
  <c r="U35" i="29"/>
  <c r="U36" i="29" s="1"/>
  <c r="AA68" i="29"/>
  <c r="Y54" i="29"/>
  <c r="T94" i="26" l="1"/>
  <c r="S61" i="26"/>
  <c r="U45" i="26"/>
  <c r="U49" i="26" s="1"/>
  <c r="T60" i="26"/>
  <c r="L67" i="30"/>
  <c r="L68" i="30" s="1"/>
  <c r="V77" i="26"/>
  <c r="V78" i="26" s="1"/>
  <c r="V33" i="29"/>
  <c r="Y56" i="29"/>
  <c r="Y57" i="29" s="1"/>
  <c r="Y47" i="29"/>
  <c r="AA70" i="29"/>
  <c r="AA71" i="29" s="1"/>
  <c r="M84" i="30"/>
  <c r="M85" i="30" s="1"/>
  <c r="AA61" i="29"/>
  <c r="N29" i="29"/>
  <c r="N21" i="29"/>
  <c r="N44" i="30" s="1"/>
  <c r="N46" i="30" s="1"/>
  <c r="X40" i="29"/>
  <c r="T61" i="26" l="1"/>
  <c r="U54" i="26"/>
  <c r="U52" i="26" s="1"/>
  <c r="U59" i="26" s="1"/>
  <c r="Z54" i="29"/>
  <c r="AB68" i="29"/>
  <c r="Y49" i="29"/>
  <c r="Y50" i="29" s="1"/>
  <c r="V46" i="26"/>
  <c r="V47" i="26"/>
  <c r="X42" i="29"/>
  <c r="X43" i="29" s="1"/>
  <c r="Y40" i="29" s="1"/>
  <c r="V35" i="29"/>
  <c r="V36" i="29" s="1"/>
  <c r="W76" i="26"/>
  <c r="N22" i="29"/>
  <c r="N64" i="30" s="1"/>
  <c r="O26" i="29"/>
  <c r="AA63" i="29"/>
  <c r="AA64" i="29" s="1"/>
  <c r="AB61" i="29" s="1"/>
  <c r="Z56" i="29"/>
  <c r="Z57" i="29" s="1"/>
  <c r="N82" i="30"/>
  <c r="M49" i="30"/>
  <c r="M50" i="30"/>
  <c r="W33" i="29" l="1"/>
  <c r="W35" i="29" s="1"/>
  <c r="W36" i="29" s="1"/>
  <c r="U94" i="26"/>
  <c r="AB63" i="29"/>
  <c r="AB64" i="29" s="1"/>
  <c r="AC61" i="29" s="1"/>
  <c r="Y42" i="29"/>
  <c r="Y43" i="29" s="1"/>
  <c r="V45" i="26"/>
  <c r="O19" i="29"/>
  <c r="O28" i="29"/>
  <c r="M48" i="30"/>
  <c r="W77" i="26"/>
  <c r="W78" i="26" s="1"/>
  <c r="Z47" i="29"/>
  <c r="N88" i="30"/>
  <c r="N62" i="30"/>
  <c r="N83" i="30"/>
  <c r="AA54" i="29"/>
  <c r="U85" i="26"/>
  <c r="U86" i="26" s="1"/>
  <c r="U60" i="26"/>
  <c r="AB70" i="29"/>
  <c r="AB71" i="29" s="1"/>
  <c r="AC68" i="29" l="1"/>
  <c r="O29" i="29"/>
  <c r="O22" i="29" s="1"/>
  <c r="O64" i="30" s="1"/>
  <c r="O21" i="29"/>
  <c r="O44" i="30" s="1"/>
  <c r="O46" i="30" s="1"/>
  <c r="Z49" i="29"/>
  <c r="Z50" i="29" s="1"/>
  <c r="V54" i="26"/>
  <c r="V52" i="26" s="1"/>
  <c r="V49" i="26"/>
  <c r="U61" i="26"/>
  <c r="X76" i="26"/>
  <c r="AA56" i="29"/>
  <c r="AA57" i="29" s="1"/>
  <c r="AB54" i="29" s="1"/>
  <c r="M57" i="30"/>
  <c r="M52" i="30"/>
  <c r="Z40" i="29"/>
  <c r="P26" i="29"/>
  <c r="AC63" i="29"/>
  <c r="AC64" i="29" s="1"/>
  <c r="W47" i="26"/>
  <c r="W46" i="26"/>
  <c r="N84" i="30"/>
  <c r="N85" i="30" s="1"/>
  <c r="X33" i="29"/>
  <c r="AC70" i="29" l="1"/>
  <c r="AC71" i="29" s="1"/>
  <c r="W45" i="26"/>
  <c r="W54" i="26" s="1"/>
  <c r="W52" i="26" s="1"/>
  <c r="N50" i="30"/>
  <c r="N49" i="30"/>
  <c r="AB56" i="29"/>
  <c r="AB57" i="29" s="1"/>
  <c r="V59" i="26"/>
  <c r="V94" i="26"/>
  <c r="AD61" i="29"/>
  <c r="AA47" i="29"/>
  <c r="P19" i="29"/>
  <c r="P28" i="29"/>
  <c r="X77" i="26"/>
  <c r="X78" i="26" s="1"/>
  <c r="O82" i="30"/>
  <c r="M55" i="30"/>
  <c r="M66" i="30" s="1"/>
  <c r="M87" i="30"/>
  <c r="M89" i="30" s="1"/>
  <c r="X35" i="29"/>
  <c r="X36" i="29" s="1"/>
  <c r="Z42" i="29"/>
  <c r="Z43" i="29" s="1"/>
  <c r="O62" i="30"/>
  <c r="O88" i="30"/>
  <c r="N48" i="30" l="1"/>
  <c r="N57" i="30" s="1"/>
  <c r="AD68" i="29"/>
  <c r="AD70" i="29" s="1"/>
  <c r="AD71" i="29" s="1"/>
  <c r="W49" i="26"/>
  <c r="AC54" i="29"/>
  <c r="AC56" i="29" s="1"/>
  <c r="AC57" i="29" s="1"/>
  <c r="Y76" i="26"/>
  <c r="Y77" i="26" s="1"/>
  <c r="Y78" i="26" s="1"/>
  <c r="AA40" i="29"/>
  <c r="AA42" i="29" s="1"/>
  <c r="AA43" i="29" s="1"/>
  <c r="P29" i="29"/>
  <c r="P22" i="29" s="1"/>
  <c r="P64" i="30" s="1"/>
  <c r="P21" i="29"/>
  <c r="P44" i="30" s="1"/>
  <c r="P46" i="30" s="1"/>
  <c r="M119" i="30"/>
  <c r="M120" i="30" s="1"/>
  <c r="M67" i="30"/>
  <c r="O83" i="30"/>
  <c r="O84" i="30" s="1"/>
  <c r="O85" i="30" s="1"/>
  <c r="W94" i="26"/>
  <c r="W59" i="26"/>
  <c r="W85" i="26" s="1"/>
  <c r="W86" i="26" s="1"/>
  <c r="AA49" i="29"/>
  <c r="AA50" i="29" s="1"/>
  <c r="V85" i="26"/>
  <c r="V86" i="26" s="1"/>
  <c r="V60" i="26"/>
  <c r="Y33" i="29"/>
  <c r="X47" i="26"/>
  <c r="X46" i="26"/>
  <c r="AD63" i="29"/>
  <c r="AD64" i="29" s="1"/>
  <c r="N52" i="30" l="1"/>
  <c r="AE68" i="29"/>
  <c r="AE70" i="29" s="1"/>
  <c r="AE71" i="29" s="1"/>
  <c r="X45" i="26"/>
  <c r="X49" i="26" s="1"/>
  <c r="AE61" i="29"/>
  <c r="AB47" i="29"/>
  <c r="Q26" i="29"/>
  <c r="Q28" i="29" s="1"/>
  <c r="AD54" i="29"/>
  <c r="AD56" i="29" s="1"/>
  <c r="AD57" i="29" s="1"/>
  <c r="O50" i="30"/>
  <c r="O49" i="30"/>
  <c r="Y35" i="29"/>
  <c r="Y36" i="29" s="1"/>
  <c r="M68" i="30"/>
  <c r="P82" i="30"/>
  <c r="P83" i="30" s="1"/>
  <c r="AE63" i="29"/>
  <c r="AE64" i="29" s="1"/>
  <c r="P62" i="30"/>
  <c r="P88" i="30"/>
  <c r="W60" i="26"/>
  <c r="V61" i="26"/>
  <c r="AB40" i="29"/>
  <c r="Y47" i="26"/>
  <c r="Y46" i="26"/>
  <c r="N55" i="30"/>
  <c r="N66" i="30" s="1"/>
  <c r="N119" i="30" s="1"/>
  <c r="N120" i="30" s="1"/>
  <c r="N87" i="30"/>
  <c r="N89" i="30" s="1"/>
  <c r="AB49" i="29"/>
  <c r="AB50" i="29" s="1"/>
  <c r="Z76" i="26"/>
  <c r="O48" i="30" l="1"/>
  <c r="O52" i="30" s="1"/>
  <c r="Y45" i="26"/>
  <c r="Y54" i="26" s="1"/>
  <c r="Y52" i="26" s="1"/>
  <c r="X54" i="26"/>
  <c r="X52" i="26" s="1"/>
  <c r="X94" i="26" s="1"/>
  <c r="AC47" i="29"/>
  <c r="Q19" i="29"/>
  <c r="N67" i="30"/>
  <c r="Z77" i="26"/>
  <c r="Z78" i="26" s="1"/>
  <c r="AC49" i="29"/>
  <c r="AC50" i="29" s="1"/>
  <c r="AB42" i="29"/>
  <c r="AB43" i="29" s="1"/>
  <c r="Q29" i="29"/>
  <c r="Q21" i="29"/>
  <c r="Q44" i="30" s="1"/>
  <c r="Q46" i="30" s="1"/>
  <c r="AE54" i="29"/>
  <c r="AF61" i="29"/>
  <c r="Z33" i="29"/>
  <c r="W61" i="26"/>
  <c r="P84" i="30"/>
  <c r="P85" i="30" s="1"/>
  <c r="AF68" i="29"/>
  <c r="O57" i="30" l="1"/>
  <c r="O55" i="30" s="1"/>
  <c r="O66" i="30" s="1"/>
  <c r="O119" i="30" s="1"/>
  <c r="O120" i="30" s="1"/>
  <c r="Y49" i="26"/>
  <c r="X59" i="26"/>
  <c r="X85" i="26" s="1"/>
  <c r="X86" i="26" s="1"/>
  <c r="Q22" i="29"/>
  <c r="Q64" i="30" s="1"/>
  <c r="R26" i="29"/>
  <c r="Z35" i="29"/>
  <c r="Z36" i="29" s="1"/>
  <c r="Y94" i="26"/>
  <c r="Y59" i="26"/>
  <c r="Y85" i="26" s="1"/>
  <c r="Y86" i="26" s="1"/>
  <c r="AD47" i="29"/>
  <c r="AF70" i="29"/>
  <c r="AF71" i="29" s="1"/>
  <c r="P49" i="30"/>
  <c r="P50" i="30"/>
  <c r="Z47" i="26"/>
  <c r="Z46" i="26"/>
  <c r="AF63" i="29"/>
  <c r="AF64" i="29" s="1"/>
  <c r="AE56" i="29"/>
  <c r="AE57" i="29" s="1"/>
  <c r="AA76" i="26"/>
  <c r="AC40" i="29"/>
  <c r="Q82" i="30"/>
  <c r="N68" i="30"/>
  <c r="O87" i="30" l="1"/>
  <c r="O89" i="30" s="1"/>
  <c r="X60" i="26"/>
  <c r="Y60" i="26" s="1"/>
  <c r="Z45" i="26"/>
  <c r="Z49" i="26" s="1"/>
  <c r="AF54" i="29"/>
  <c r="AG68" i="29"/>
  <c r="AG70" i="29" s="1"/>
  <c r="AG71" i="29" s="1"/>
  <c r="AG61" i="29"/>
  <c r="Q83" i="30"/>
  <c r="AD49" i="29"/>
  <c r="AD50" i="29" s="1"/>
  <c r="AC42" i="29"/>
  <c r="AC43" i="29" s="1"/>
  <c r="AA33" i="29"/>
  <c r="AA77" i="26"/>
  <c r="AA78" i="26" s="1"/>
  <c r="P48" i="30"/>
  <c r="R28" i="29"/>
  <c r="R19" i="29"/>
  <c r="AF56" i="29"/>
  <c r="AF57" i="29" s="1"/>
  <c r="O67" i="30"/>
  <c r="Q88" i="30"/>
  <c r="Q62" i="30"/>
  <c r="Z54" i="26" l="1"/>
  <c r="Z52" i="26" s="1"/>
  <c r="Z59" i="26" s="1"/>
  <c r="X61" i="26"/>
  <c r="Y61" i="26" s="1"/>
  <c r="AB76" i="26"/>
  <c r="AB77" i="26" s="1"/>
  <c r="AB78" i="26" s="1"/>
  <c r="O68" i="30"/>
  <c r="AD40" i="29"/>
  <c r="R29" i="29"/>
  <c r="R22" i="29" s="1"/>
  <c r="R64" i="30" s="1"/>
  <c r="R21" i="29"/>
  <c r="R44" i="30" s="1"/>
  <c r="R46" i="30" s="1"/>
  <c r="AE47" i="29"/>
  <c r="AG63" i="29"/>
  <c r="AG64" i="29" s="1"/>
  <c r="AA35" i="29"/>
  <c r="AA36" i="29" s="1"/>
  <c r="AB33" i="29" s="1"/>
  <c r="AG54" i="29"/>
  <c r="P57" i="30"/>
  <c r="P52" i="30"/>
  <c r="AA46" i="26"/>
  <c r="AA47" i="26"/>
  <c r="Q84" i="30"/>
  <c r="Q85" i="30" s="1"/>
  <c r="AH68" i="29"/>
  <c r="Z85" i="26" l="1"/>
  <c r="Z86" i="26" s="1"/>
  <c r="Z60" i="26"/>
  <c r="Z61" i="26" s="1"/>
  <c r="Z94" i="26"/>
  <c r="AH61" i="29"/>
  <c r="AH63" i="29" s="1"/>
  <c r="AH64" i="29" s="1"/>
  <c r="AA45" i="26"/>
  <c r="AA49" i="26" s="1"/>
  <c r="AB35" i="29"/>
  <c r="AB36" i="29" s="1"/>
  <c r="R88" i="30"/>
  <c r="R62" i="30"/>
  <c r="AB47" i="26"/>
  <c r="AB46" i="26"/>
  <c r="AE49" i="29"/>
  <c r="AE50" i="29" s="1"/>
  <c r="AD42" i="29"/>
  <c r="AD43" i="29" s="1"/>
  <c r="AC76" i="26"/>
  <c r="AH70" i="29"/>
  <c r="AH71" i="29" s="1"/>
  <c r="S26" i="29"/>
  <c r="AG56" i="29"/>
  <c r="AG57" i="29" s="1"/>
  <c r="Q49" i="30"/>
  <c r="Q50" i="30"/>
  <c r="P55" i="30"/>
  <c r="P66" i="30" s="1"/>
  <c r="P87" i="30"/>
  <c r="P89" i="30" s="1"/>
  <c r="R82" i="30"/>
  <c r="AA54" i="26" l="1"/>
  <c r="AA52" i="26" s="1"/>
  <c r="AA59" i="26" s="1"/>
  <c r="AH54" i="29"/>
  <c r="AH56" i="29" s="1"/>
  <c r="AH57" i="29" s="1"/>
  <c r="AB45" i="26"/>
  <c r="AB54" i="26" s="1"/>
  <c r="AB52" i="26" s="1"/>
  <c r="AI61" i="29"/>
  <c r="AE40" i="29"/>
  <c r="AF47" i="29"/>
  <c r="R83" i="30"/>
  <c r="S19" i="29"/>
  <c r="S28" i="29"/>
  <c r="AI68" i="29"/>
  <c r="Q48" i="30"/>
  <c r="P119" i="30"/>
  <c r="P120" i="30" s="1"/>
  <c r="P67" i="30"/>
  <c r="AC77" i="26"/>
  <c r="AC78" i="26" s="1"/>
  <c r="AC33" i="29"/>
  <c r="AB49" i="26" l="1"/>
  <c r="AA94" i="26"/>
  <c r="AB59" i="26"/>
  <c r="AB85" i="26" s="1"/>
  <c r="AB86" i="26" s="1"/>
  <c r="AB94" i="26"/>
  <c r="AD76" i="26"/>
  <c r="AI70" i="29"/>
  <c r="AI71" i="29" s="1"/>
  <c r="R84" i="30"/>
  <c r="R85" i="30" s="1"/>
  <c r="AF49" i="29"/>
  <c r="AF50" i="29" s="1"/>
  <c r="AC35" i="29"/>
  <c r="AC36" i="29" s="1"/>
  <c r="AA85" i="26"/>
  <c r="AA86" i="26" s="1"/>
  <c r="AA60" i="26"/>
  <c r="Q57" i="30"/>
  <c r="Q52" i="30"/>
  <c r="AE42" i="29"/>
  <c r="AE43" i="29" s="1"/>
  <c r="AC47" i="26"/>
  <c r="AC46" i="26"/>
  <c r="AI54" i="29"/>
  <c r="P68" i="30"/>
  <c r="S29" i="29"/>
  <c r="S22" i="29" s="1"/>
  <c r="S64" i="30" s="1"/>
  <c r="S21" i="29"/>
  <c r="S44" i="30" s="1"/>
  <c r="S46" i="30" s="1"/>
  <c r="AI63" i="29"/>
  <c r="AI64" i="29" s="1"/>
  <c r="AJ68" i="29" l="1"/>
  <c r="AJ70" i="29" s="1"/>
  <c r="AJ71" i="29" s="1"/>
  <c r="AC45" i="26"/>
  <c r="AC54" i="26" s="1"/>
  <c r="AC52" i="26" s="1"/>
  <c r="AF40" i="29"/>
  <c r="AF42" i="29" s="1"/>
  <c r="AF43" i="29" s="1"/>
  <c r="R50" i="30"/>
  <c r="R49" i="30"/>
  <c r="AI56" i="29"/>
  <c r="AI57" i="29" s="1"/>
  <c r="AD77" i="26"/>
  <c r="AD78" i="26" s="1"/>
  <c r="S88" i="30"/>
  <c r="S62" i="30"/>
  <c r="Q55" i="30"/>
  <c r="Q66" i="30" s="1"/>
  <c r="Q87" i="30"/>
  <c r="Q89" i="30" s="1"/>
  <c r="AD33" i="29"/>
  <c r="S82" i="30"/>
  <c r="AB60" i="26"/>
  <c r="AA61" i="26"/>
  <c r="AJ61" i="29"/>
  <c r="T26" i="29"/>
  <c r="AG47" i="29"/>
  <c r="R48" i="30" l="1"/>
  <c r="R52" i="30" s="1"/>
  <c r="AC49" i="26"/>
  <c r="AD46" i="26"/>
  <c r="AD47" i="26"/>
  <c r="T19" i="29"/>
  <c r="T28" i="29"/>
  <c r="Q119" i="30"/>
  <c r="Q120" i="30" s="1"/>
  <c r="Q67" i="30"/>
  <c r="AJ54" i="29"/>
  <c r="AE76" i="26"/>
  <c r="AC59" i="26"/>
  <c r="AC85" i="26" s="1"/>
  <c r="AC86" i="26" s="1"/>
  <c r="AC94" i="26"/>
  <c r="AG49" i="29"/>
  <c r="AG50" i="29" s="1"/>
  <c r="AG40" i="29"/>
  <c r="S83" i="30"/>
  <c r="AJ63" i="29"/>
  <c r="AJ64" i="29" s="1"/>
  <c r="AB61" i="26"/>
  <c r="AD35" i="29"/>
  <c r="AD36" i="29" s="1"/>
  <c r="AK68" i="29"/>
  <c r="R57" i="30" l="1"/>
  <c r="R55" i="30" s="1"/>
  <c r="R66" i="30" s="1"/>
  <c r="R119" i="30" s="1"/>
  <c r="R120" i="30" s="1"/>
  <c r="AH47" i="29"/>
  <c r="AE33" i="29"/>
  <c r="AE35" i="29" s="1"/>
  <c r="AC60" i="26"/>
  <c r="AC61" i="26" s="1"/>
  <c r="AJ56" i="29"/>
  <c r="AJ57" i="29" s="1"/>
  <c r="AK54" i="29" s="1"/>
  <c r="T29" i="29"/>
  <c r="T22" i="29" s="1"/>
  <c r="T64" i="30" s="1"/>
  <c r="T21" i="29"/>
  <c r="T44" i="30" s="1"/>
  <c r="T46" i="30" s="1"/>
  <c r="Q68" i="30"/>
  <c r="AK61" i="29"/>
  <c r="AH49" i="29"/>
  <c r="AH50" i="29" s="1"/>
  <c r="AK70" i="29"/>
  <c r="AK71" i="29" s="1"/>
  <c r="AG42" i="29"/>
  <c r="AG43" i="29" s="1"/>
  <c r="S84" i="30"/>
  <c r="S85" i="30" s="1"/>
  <c r="AE77" i="26"/>
  <c r="AE78" i="26" s="1"/>
  <c r="AD45" i="26"/>
  <c r="R87" i="30" l="1"/>
  <c r="R89" i="30" s="1"/>
  <c r="AE36" i="29"/>
  <c r="AF33" i="29" s="1"/>
  <c r="AF35" i="29" s="1"/>
  <c r="AF36" i="29" s="1"/>
  <c r="AH40" i="29"/>
  <c r="AH42" i="29" s="1"/>
  <c r="AH43" i="29" s="1"/>
  <c r="R67" i="30"/>
  <c r="R68" i="30" s="1"/>
  <c r="U26" i="29"/>
  <c r="U28" i="29" s="1"/>
  <c r="AE46" i="26"/>
  <c r="AE47" i="26"/>
  <c r="S49" i="30"/>
  <c r="S50" i="30"/>
  <c r="T82" i="30"/>
  <c r="T88" i="30"/>
  <c r="T62" i="30"/>
  <c r="AK63" i="29"/>
  <c r="AK64" i="29" s="1"/>
  <c r="AI47" i="29"/>
  <c r="AK56" i="29"/>
  <c r="AK57" i="29" s="1"/>
  <c r="AF76" i="26"/>
  <c r="AD54" i="26"/>
  <c r="AD52" i="26" s="1"/>
  <c r="AD49" i="26"/>
  <c r="AL68" i="29"/>
  <c r="U19" i="29" l="1"/>
  <c r="AG33" i="29"/>
  <c r="AG35" i="29" s="1"/>
  <c r="AG36" i="29" s="1"/>
  <c r="AD59" i="26"/>
  <c r="AD94" i="26"/>
  <c r="AL54" i="29"/>
  <c r="AE45" i="26"/>
  <c r="AF77" i="26"/>
  <c r="AF78" i="26" s="1"/>
  <c r="AL70" i="29"/>
  <c r="AL71" i="29" s="1"/>
  <c r="S48" i="30"/>
  <c r="T83" i="30"/>
  <c r="T84" i="30" s="1"/>
  <c r="T85" i="30" s="1"/>
  <c r="AI49" i="29"/>
  <c r="AI50" i="29" s="1"/>
  <c r="AL61" i="29"/>
  <c r="AI40" i="29"/>
  <c r="U21" i="29"/>
  <c r="U44" i="30" s="1"/>
  <c r="U46" i="30" s="1"/>
  <c r="U29" i="29"/>
  <c r="AM68" i="29" l="1"/>
  <c r="AM70" i="29" s="1"/>
  <c r="AM71" i="29" s="1"/>
  <c r="T49" i="30"/>
  <c r="T50" i="30"/>
  <c r="U82" i="30"/>
  <c r="U83" i="30" s="1"/>
  <c r="AE54" i="26"/>
  <c r="AE52" i="26" s="1"/>
  <c r="AE49" i="26"/>
  <c r="AG76" i="26"/>
  <c r="AH33" i="29"/>
  <c r="AL56" i="29"/>
  <c r="AL57" i="29" s="1"/>
  <c r="AF47" i="26"/>
  <c r="AF46" i="26"/>
  <c r="U22" i="29"/>
  <c r="U64" i="30" s="1"/>
  <c r="V26" i="29"/>
  <c r="AL63" i="29"/>
  <c r="AL64" i="29" s="1"/>
  <c r="S57" i="30"/>
  <c r="S52" i="30"/>
  <c r="AI42" i="29"/>
  <c r="AI43" i="29" s="1"/>
  <c r="AJ47" i="29"/>
  <c r="AD85" i="26"/>
  <c r="AD86" i="26" s="1"/>
  <c r="AD60" i="26"/>
  <c r="AF45" i="26" l="1"/>
  <c r="AF49" i="26" s="1"/>
  <c r="AM61" i="29"/>
  <c r="AM63" i="29" s="1"/>
  <c r="AM64" i="29" s="1"/>
  <c r="AM54" i="29"/>
  <c r="AM56" i="29" s="1"/>
  <c r="AM57" i="29" s="1"/>
  <c r="AG77" i="26"/>
  <c r="AG78" i="26" s="1"/>
  <c r="AD61" i="26"/>
  <c r="V19" i="29"/>
  <c r="V28" i="29"/>
  <c r="AE94" i="26"/>
  <c r="AE59" i="26"/>
  <c r="AE85" i="26" s="1"/>
  <c r="AE86" i="26" s="1"/>
  <c r="U62" i="30"/>
  <c r="U88" i="30"/>
  <c r="U84" i="30"/>
  <c r="U85" i="30" s="1"/>
  <c r="S55" i="30"/>
  <c r="S66" i="30" s="1"/>
  <c r="S87" i="30"/>
  <c r="S89" i="30" s="1"/>
  <c r="AJ49" i="29"/>
  <c r="AJ50" i="29" s="1"/>
  <c r="AJ40" i="29"/>
  <c r="AH35" i="29"/>
  <c r="AH36" i="29" s="1"/>
  <c r="T48" i="30"/>
  <c r="AF54" i="26" l="1"/>
  <c r="AF52" i="26" s="1"/>
  <c r="AF59" i="26" s="1"/>
  <c r="AF85" i="26" s="1"/>
  <c r="AF86" i="26" s="1"/>
  <c r="AE60" i="26"/>
  <c r="AE61" i="26" s="1"/>
  <c r="U50" i="30"/>
  <c r="U49" i="30"/>
  <c r="T57" i="30"/>
  <c r="T52" i="30"/>
  <c r="V21" i="29"/>
  <c r="V44" i="30" s="1"/>
  <c r="V46" i="30" s="1"/>
  <c r="V29" i="29"/>
  <c r="V22" i="29" s="1"/>
  <c r="V64" i="30" s="1"/>
  <c r="AJ42" i="29"/>
  <c r="AJ43" i="29" s="1"/>
  <c r="AI33" i="29"/>
  <c r="AK47" i="29"/>
  <c r="AG46" i="26"/>
  <c r="AG47" i="26"/>
  <c r="S119" i="30"/>
  <c r="S120" i="30" s="1"/>
  <c r="S67" i="30"/>
  <c r="AH76" i="26"/>
  <c r="U48" i="30" l="1"/>
  <c r="U52" i="30" s="1"/>
  <c r="AK40" i="29"/>
  <c r="AK42" i="29" s="1"/>
  <c r="AK43" i="29" s="1"/>
  <c r="W26" i="29"/>
  <c r="W28" i="29" s="1"/>
  <c r="AF94" i="26"/>
  <c r="V82" i="30"/>
  <c r="AK49" i="29"/>
  <c r="AK50" i="29" s="1"/>
  <c r="AF60" i="26"/>
  <c r="T55" i="30"/>
  <c r="T66" i="30" s="1"/>
  <c r="T119" i="30" s="1"/>
  <c r="T120" i="30" s="1"/>
  <c r="T87" i="30"/>
  <c r="T89" i="30" s="1"/>
  <c r="V88" i="30"/>
  <c r="V62" i="30"/>
  <c r="AI35" i="29"/>
  <c r="AI36" i="29" s="1"/>
  <c r="AJ33" i="29" s="1"/>
  <c r="AH77" i="26"/>
  <c r="AH78" i="26" s="1"/>
  <c r="S68" i="30"/>
  <c r="AG45" i="26"/>
  <c r="U57" i="30" l="1"/>
  <c r="U55" i="30" s="1"/>
  <c r="U66" i="30" s="1"/>
  <c r="U119" i="30" s="1"/>
  <c r="U120" i="30" s="1"/>
  <c r="W19" i="29"/>
  <c r="AL47" i="29"/>
  <c r="AL49" i="29" s="1"/>
  <c r="AL50" i="29" s="1"/>
  <c r="AM47" i="29" s="1"/>
  <c r="AM49" i="29" s="1"/>
  <c r="AM50" i="29" s="1"/>
  <c r="T67" i="30"/>
  <c r="AH47" i="26"/>
  <c r="AH46" i="26"/>
  <c r="W29" i="29"/>
  <c r="W22" i="29" s="1"/>
  <c r="W64" i="30" s="1"/>
  <c r="W21" i="29"/>
  <c r="W44" i="30" s="1"/>
  <c r="W46" i="30" s="1"/>
  <c r="AI76" i="26"/>
  <c r="AG54" i="26"/>
  <c r="AG52" i="26" s="1"/>
  <c r="AG49" i="26"/>
  <c r="AJ35" i="29"/>
  <c r="AJ36" i="29" s="1"/>
  <c r="AF61" i="26"/>
  <c r="V83" i="30"/>
  <c r="AL40" i="29"/>
  <c r="U87" i="30" l="1"/>
  <c r="U89" i="30" s="1"/>
  <c r="AH45" i="26"/>
  <c r="AH54" i="26" s="1"/>
  <c r="AH52" i="26" s="1"/>
  <c r="U67" i="30"/>
  <c r="T68" i="30"/>
  <c r="AK33" i="29"/>
  <c r="AK35" i="29" s="1"/>
  <c r="AK36" i="29" s="1"/>
  <c r="AL42" i="29"/>
  <c r="AL43" i="29" s="1"/>
  <c r="W82" i="30"/>
  <c r="AG94" i="26"/>
  <c r="AG59" i="26"/>
  <c r="W88" i="30"/>
  <c r="W62" i="30"/>
  <c r="V84" i="30"/>
  <c r="V85" i="30" s="1"/>
  <c r="AI77" i="26"/>
  <c r="AI78" i="26" s="1"/>
  <c r="X26" i="29"/>
  <c r="AH49" i="26" l="1"/>
  <c r="U68" i="30"/>
  <c r="W83" i="30"/>
  <c r="W84" i="30" s="1"/>
  <c r="W85" i="30" s="1"/>
  <c r="AM40" i="29"/>
  <c r="AM42" i="29" s="1"/>
  <c r="AM43" i="29" s="1"/>
  <c r="AG85" i="26"/>
  <c r="AG86" i="26" s="1"/>
  <c r="AG60" i="26"/>
  <c r="X19" i="29"/>
  <c r="X28" i="29"/>
  <c r="V49" i="30"/>
  <c r="V50" i="30"/>
  <c r="AH59" i="26"/>
  <c r="AH85" i="26" s="1"/>
  <c r="AH86" i="26" s="1"/>
  <c r="AH94" i="26"/>
  <c r="AI46" i="26"/>
  <c r="AI47" i="26"/>
  <c r="AJ76" i="26"/>
  <c r="AL33" i="29"/>
  <c r="V48" i="30" l="1"/>
  <c r="V57" i="30" s="1"/>
  <c r="AI45" i="26"/>
  <c r="X21" i="29"/>
  <c r="X44" i="30" s="1"/>
  <c r="X46" i="30" s="1"/>
  <c r="X29" i="29"/>
  <c r="AG61" i="26"/>
  <c r="AH60" i="26"/>
  <c r="W50" i="30"/>
  <c r="W49" i="30"/>
  <c r="AL35" i="29"/>
  <c r="AL36" i="29" s="1"/>
  <c r="AJ77" i="26"/>
  <c r="AJ78" i="26" s="1"/>
  <c r="V52" i="30" l="1"/>
  <c r="AM33" i="29"/>
  <c r="AM35" i="29" s="1"/>
  <c r="AM36" i="29" s="1"/>
  <c r="X82" i="30"/>
  <c r="AH61" i="26"/>
  <c r="X22" i="29"/>
  <c r="X64" i="30" s="1"/>
  <c r="Y26" i="29"/>
  <c r="AI54" i="26"/>
  <c r="AI52" i="26" s="1"/>
  <c r="AI49" i="26"/>
  <c r="AJ47" i="26"/>
  <c r="AJ46" i="26"/>
  <c r="AK76" i="26"/>
  <c r="W48" i="30"/>
  <c r="V55" i="30"/>
  <c r="V66" i="30" s="1"/>
  <c r="V87" i="30"/>
  <c r="V89" i="30" s="1"/>
  <c r="AJ45" i="26" l="1"/>
  <c r="AJ49" i="26" s="1"/>
  <c r="AI59" i="26"/>
  <c r="AI94" i="26"/>
  <c r="V119" i="30"/>
  <c r="V120" i="30" s="1"/>
  <c r="V67" i="30"/>
  <c r="AK77" i="26"/>
  <c r="AK78" i="26" s="1"/>
  <c r="Y19" i="29"/>
  <c r="Y28" i="29"/>
  <c r="X62" i="30"/>
  <c r="X88" i="30"/>
  <c r="W57" i="30"/>
  <c r="W52" i="30"/>
  <c r="X83" i="30"/>
  <c r="AJ54" i="26" l="1"/>
  <c r="AJ52" i="26" s="1"/>
  <c r="AJ94" i="26" s="1"/>
  <c r="W55" i="30"/>
  <c r="W66" i="30" s="1"/>
  <c r="W119" i="30" s="1"/>
  <c r="W120" i="30" s="1"/>
  <c r="W87" i="30"/>
  <c r="W89" i="30" s="1"/>
  <c r="V68" i="30"/>
  <c r="AK46" i="26"/>
  <c r="AK47" i="26"/>
  <c r="AL76" i="26"/>
  <c r="Y29" i="29"/>
  <c r="Y22" i="29" s="1"/>
  <c r="Y64" i="30" s="1"/>
  <c r="Y21" i="29"/>
  <c r="Y44" i="30" s="1"/>
  <c r="Y46" i="30" s="1"/>
  <c r="X84" i="30"/>
  <c r="X85" i="30" s="1"/>
  <c r="AI85" i="26"/>
  <c r="AI86" i="26" s="1"/>
  <c r="AI60" i="26"/>
  <c r="Z26" i="29" l="1"/>
  <c r="Z28" i="29" s="1"/>
  <c r="AJ59" i="26"/>
  <c r="AJ85" i="26" s="1"/>
  <c r="AJ86" i="26" s="1"/>
  <c r="W67" i="30"/>
  <c r="W68" i="30" s="1"/>
  <c r="AL77" i="26"/>
  <c r="AL78" i="26" s="1"/>
  <c r="X49" i="30"/>
  <c r="X50" i="30"/>
  <c r="Y88" i="30"/>
  <c r="Y62" i="30"/>
  <c r="Y82" i="30"/>
  <c r="AK45" i="26"/>
  <c r="AI61" i="26"/>
  <c r="Z19" i="29" l="1"/>
  <c r="AJ60" i="26"/>
  <c r="AJ61" i="26" s="1"/>
  <c r="X48" i="30"/>
  <c r="X57" i="30" s="1"/>
  <c r="AK54" i="26"/>
  <c r="AK52" i="26" s="1"/>
  <c r="AK49" i="26"/>
  <c r="Y83" i="30"/>
  <c r="AL47" i="26"/>
  <c r="AL46" i="26"/>
  <c r="Z21" i="29"/>
  <c r="Z44" i="30" s="1"/>
  <c r="Z46" i="30" s="1"/>
  <c r="Z29" i="29"/>
  <c r="Z22" i="29" s="1"/>
  <c r="Z64" i="30" s="1"/>
  <c r="AM76" i="26"/>
  <c r="AM77" i="26" s="1"/>
  <c r="AM78" i="26" s="1"/>
  <c r="X52" i="30" l="1"/>
  <c r="AA26" i="29"/>
  <c r="AA19" i="29" s="1"/>
  <c r="AL45" i="26"/>
  <c r="AL54" i="26" s="1"/>
  <c r="AL52" i="26" s="1"/>
  <c r="Z62" i="30"/>
  <c r="Z88" i="30"/>
  <c r="Z89" i="30" s="1"/>
  <c r="AM47" i="26"/>
  <c r="C47" i="26" s="1"/>
  <c r="AM46" i="26"/>
  <c r="AK94" i="26"/>
  <c r="AK59" i="26"/>
  <c r="X87" i="30"/>
  <c r="X89" i="30" s="1"/>
  <c r="X55" i="30"/>
  <c r="X66" i="30" s="1"/>
  <c r="Z82" i="30"/>
  <c r="Y84" i="30"/>
  <c r="Y85" i="30" s="1"/>
  <c r="AL49" i="26" l="1"/>
  <c r="AA28" i="29"/>
  <c r="AA21" i="29" s="1"/>
  <c r="AA44" i="30" s="1"/>
  <c r="AA46" i="30" s="1"/>
  <c r="Z83" i="30"/>
  <c r="Z84" i="30" s="1"/>
  <c r="Z85" i="30" s="1"/>
  <c r="X119" i="30"/>
  <c r="X120" i="30" s="1"/>
  <c r="X67" i="30"/>
  <c r="AL59" i="26"/>
  <c r="AL85" i="26" s="1"/>
  <c r="AL86" i="26" s="1"/>
  <c r="AL94" i="26"/>
  <c r="AM45" i="26"/>
  <c r="C46" i="26"/>
  <c r="AK85" i="26"/>
  <c r="AK86" i="26" s="1"/>
  <c r="AK60" i="26"/>
  <c r="Y50" i="30"/>
  <c r="Y49" i="30"/>
  <c r="AA29" i="29" l="1"/>
  <c r="AA22" i="29" s="1"/>
  <c r="AA64" i="30" s="1"/>
  <c r="AA88" i="30" s="1"/>
  <c r="AA89" i="30" s="1"/>
  <c r="Y48" i="30"/>
  <c r="Y57" i="30" s="1"/>
  <c r="Z49" i="30"/>
  <c r="Z50" i="30"/>
  <c r="AA82" i="30"/>
  <c r="AM54" i="26"/>
  <c r="AM49" i="26"/>
  <c r="C49" i="26" s="1"/>
  <c r="C45" i="26"/>
  <c r="AK61" i="26"/>
  <c r="AL60" i="26"/>
  <c r="X68" i="30"/>
  <c r="AA62" i="30" l="1"/>
  <c r="AB26" i="29"/>
  <c r="AB28" i="29" s="1"/>
  <c r="AB29" i="29" s="1"/>
  <c r="Y52" i="30"/>
  <c r="AB21" i="29"/>
  <c r="AB44" i="30" s="1"/>
  <c r="AB46" i="30" s="1"/>
  <c r="AA83" i="30"/>
  <c r="AA84" i="30" s="1"/>
  <c r="AA85" i="30" s="1"/>
  <c r="AL61" i="26"/>
  <c r="Y87" i="30"/>
  <c r="Y89" i="30" s="1"/>
  <c r="Y55" i="30"/>
  <c r="Y66" i="30" s="1"/>
  <c r="AM52" i="26"/>
  <c r="C54" i="26"/>
  <c r="Z48" i="30"/>
  <c r="AB19" i="29" l="1"/>
  <c r="AA49" i="30"/>
  <c r="AA50" i="30"/>
  <c r="Z57" i="30"/>
  <c r="Z52" i="30"/>
  <c r="AB82" i="30"/>
  <c r="AM59" i="26"/>
  <c r="AM94" i="26"/>
  <c r="C52" i="26"/>
  <c r="Y119" i="30"/>
  <c r="Y120" i="30" s="1"/>
  <c r="Y67" i="30"/>
  <c r="AB22" i="29"/>
  <c r="AB64" i="30" s="1"/>
  <c r="AC26" i="29"/>
  <c r="AC28" i="29" l="1"/>
  <c r="AC19" i="29"/>
  <c r="AB88" i="30"/>
  <c r="AB89" i="30" s="1"/>
  <c r="AB62" i="30"/>
  <c r="Z87" i="30"/>
  <c r="Z55" i="30"/>
  <c r="Z66" i="30" s="1"/>
  <c r="Z119" i="30" s="1"/>
  <c r="Z120" i="30" s="1"/>
  <c r="C65" i="26"/>
  <c r="P10" i="2" s="1"/>
  <c r="AN85" i="26"/>
  <c r="C68" i="26" s="1"/>
  <c r="P12" i="2" s="1"/>
  <c r="AM85" i="26"/>
  <c r="AM86" i="26" s="1"/>
  <c r="C59" i="26"/>
  <c r="C64" i="26"/>
  <c r="AM60" i="26"/>
  <c r="AM61" i="26" s="1"/>
  <c r="AB83" i="30"/>
  <c r="AB84" i="30" s="1"/>
  <c r="AB85" i="30" s="1"/>
  <c r="Y68" i="30"/>
  <c r="AA48" i="30"/>
  <c r="AB50" i="30" l="1"/>
  <c r="AB49" i="30"/>
  <c r="C66" i="26"/>
  <c r="P11" i="2" s="1"/>
  <c r="P9" i="2"/>
  <c r="AA57" i="30"/>
  <c r="AA52" i="30"/>
  <c r="Z67" i="30"/>
  <c r="AC21" i="29"/>
  <c r="AC44" i="30" s="1"/>
  <c r="AC46" i="30" s="1"/>
  <c r="AC29" i="29"/>
  <c r="AB48" i="30" l="1"/>
  <c r="AB52" i="30" s="1"/>
  <c r="AC82" i="30"/>
  <c r="AA87" i="30"/>
  <c r="AA55" i="30"/>
  <c r="AA66" i="30" s="1"/>
  <c r="AA119" i="30" s="1"/>
  <c r="AA120" i="30" s="1"/>
  <c r="AC22" i="29"/>
  <c r="AC64" i="30" s="1"/>
  <c r="AD26" i="29"/>
  <c r="Z68" i="30"/>
  <c r="AB57" i="30" l="1"/>
  <c r="AB87" i="30" s="1"/>
  <c r="AC88" i="30"/>
  <c r="AC89" i="30" s="1"/>
  <c r="AC62" i="30"/>
  <c r="AD28" i="29"/>
  <c r="AD19" i="29"/>
  <c r="AA67" i="30"/>
  <c r="AC83" i="30"/>
  <c r="AB55" i="30" l="1"/>
  <c r="AB66" i="30" s="1"/>
  <c r="AB119" i="30" s="1"/>
  <c r="AB120" i="30" s="1"/>
  <c r="AD29" i="29"/>
  <c r="AD22" i="29" s="1"/>
  <c r="AD64" i="30" s="1"/>
  <c r="AD21" i="29"/>
  <c r="AD44" i="30" s="1"/>
  <c r="AD46" i="30" s="1"/>
  <c r="AA68" i="30"/>
  <c r="AE26" i="29"/>
  <c r="AC84" i="30"/>
  <c r="AC85" i="30" s="1"/>
  <c r="AB67" i="30" l="1"/>
  <c r="AB68" i="30" s="1"/>
  <c r="AC49" i="30"/>
  <c r="AC50" i="30"/>
  <c r="AE28" i="29"/>
  <c r="AE19" i="29"/>
  <c r="AD82" i="30"/>
  <c r="AD88" i="30"/>
  <c r="AD89" i="30" s="1"/>
  <c r="AD62" i="30"/>
  <c r="AE29" i="29" l="1"/>
  <c r="AE22" i="29" s="1"/>
  <c r="AE64" i="30" s="1"/>
  <c r="AE21" i="29"/>
  <c r="AE44" i="30" s="1"/>
  <c r="AE46" i="30" s="1"/>
  <c r="AD83" i="30"/>
  <c r="AC48" i="30"/>
  <c r="AF26" i="29" l="1"/>
  <c r="AF19" i="29" s="1"/>
  <c r="AC57" i="30"/>
  <c r="AC52" i="30"/>
  <c r="AE82" i="30"/>
  <c r="AD84" i="30"/>
  <c r="AD85" i="30" s="1"/>
  <c r="AE62" i="30"/>
  <c r="AE88" i="30"/>
  <c r="AE89" i="30" s="1"/>
  <c r="AF28" i="29" l="1"/>
  <c r="AF29" i="29" s="1"/>
  <c r="AF22" i="29" s="1"/>
  <c r="AF64" i="30" s="1"/>
  <c r="AE83" i="30"/>
  <c r="AE84" i="30" s="1"/>
  <c r="AE85" i="30" s="1"/>
  <c r="AD50" i="30"/>
  <c r="AD49" i="30"/>
  <c r="AC87" i="30"/>
  <c r="AC55" i="30"/>
  <c r="AC66" i="30" s="1"/>
  <c r="AG26" i="29" l="1"/>
  <c r="AG28" i="29" s="1"/>
  <c r="AF21" i="29"/>
  <c r="AF44" i="30" s="1"/>
  <c r="AF46" i="30" s="1"/>
  <c r="AF82" i="30" s="1"/>
  <c r="AD48" i="30"/>
  <c r="AD57" i="30" s="1"/>
  <c r="AE49" i="30"/>
  <c r="AE50" i="30"/>
  <c r="AF62" i="30"/>
  <c r="AF88" i="30"/>
  <c r="AF89" i="30" s="1"/>
  <c r="AC119" i="30"/>
  <c r="AC120" i="30" s="1"/>
  <c r="AC67" i="30"/>
  <c r="AG19" i="29" l="1"/>
  <c r="AD52" i="30"/>
  <c r="AD55" i="30"/>
  <c r="AD66" i="30" s="1"/>
  <c r="AD119" i="30" s="1"/>
  <c r="AD120" i="30" s="1"/>
  <c r="AD87" i="30"/>
  <c r="AG21" i="29"/>
  <c r="AG44" i="30" s="1"/>
  <c r="AG46" i="30" s="1"/>
  <c r="AG29" i="29"/>
  <c r="AC68" i="30"/>
  <c r="AF83" i="30"/>
  <c r="AF84" i="30" s="1"/>
  <c r="AF85" i="30" s="1"/>
  <c r="AE48" i="30"/>
  <c r="AD67" i="30" l="1"/>
  <c r="AD68" i="30" s="1"/>
  <c r="AF50" i="30"/>
  <c r="AF49" i="30"/>
  <c r="AG82" i="30"/>
  <c r="AG83" i="30" s="1"/>
  <c r="AG22" i="29"/>
  <c r="AG64" i="30" s="1"/>
  <c r="AH26" i="29"/>
  <c r="AE57" i="30"/>
  <c r="AE52" i="30"/>
  <c r="AF48" i="30" l="1"/>
  <c r="AF52" i="30" s="1"/>
  <c r="AG88" i="30"/>
  <c r="AG89" i="30" s="1"/>
  <c r="AG62" i="30"/>
  <c r="AH19" i="29"/>
  <c r="AH28" i="29"/>
  <c r="AG84" i="30"/>
  <c r="AG85" i="30" s="1"/>
  <c r="AE87" i="30"/>
  <c r="AE55" i="30"/>
  <c r="AE66" i="30" s="1"/>
  <c r="AF57" i="30" l="1"/>
  <c r="AF55" i="30" s="1"/>
  <c r="AF66" i="30" s="1"/>
  <c r="AF119" i="30" s="1"/>
  <c r="AF120" i="30" s="1"/>
  <c r="AE119" i="30"/>
  <c r="AE120" i="30" s="1"/>
  <c r="AE67" i="30"/>
  <c r="AG50" i="30"/>
  <c r="AG49" i="30"/>
  <c r="AH21" i="29"/>
  <c r="AH44" i="30" s="1"/>
  <c r="AH46" i="30" s="1"/>
  <c r="AH29" i="29"/>
  <c r="AH22" i="29" s="1"/>
  <c r="AH64" i="30" s="1"/>
  <c r="AG48" i="30" l="1"/>
  <c r="AG57" i="30" s="1"/>
  <c r="AF87" i="30"/>
  <c r="AH82" i="30"/>
  <c r="AE68" i="30"/>
  <c r="AF67" i="30"/>
  <c r="AH88" i="30"/>
  <c r="AH89" i="30" s="1"/>
  <c r="AH62" i="30"/>
  <c r="AI26" i="29"/>
  <c r="AG52" i="30" l="1"/>
  <c r="AH83" i="30"/>
  <c r="AF68" i="30"/>
  <c r="AI19" i="29"/>
  <c r="AI28" i="29"/>
  <c r="AG87" i="30"/>
  <c r="AG55" i="30"/>
  <c r="AG66" i="30" s="1"/>
  <c r="AG119" i="30" s="1"/>
  <c r="AG120" i="30" s="1"/>
  <c r="AG67" i="30" l="1"/>
  <c r="AG68" i="30" s="1"/>
  <c r="AI29" i="29"/>
  <c r="AI22" i="29" s="1"/>
  <c r="AI64" i="30" s="1"/>
  <c r="AI21" i="29"/>
  <c r="AI44" i="30" s="1"/>
  <c r="AI46" i="30" s="1"/>
  <c r="AH84" i="30"/>
  <c r="AH85" i="30" s="1"/>
  <c r="AJ26" i="29" l="1"/>
  <c r="AJ28" i="29" s="1"/>
  <c r="AH50" i="30"/>
  <c r="AH49" i="30"/>
  <c r="AI82" i="30"/>
  <c r="AI88" i="30"/>
  <c r="AI89" i="30" s="1"/>
  <c r="AI62" i="30"/>
  <c r="AJ19" i="29" l="1"/>
  <c r="AH48" i="30"/>
  <c r="AH57" i="30" s="1"/>
  <c r="AJ29" i="29"/>
  <c r="AJ21" i="29"/>
  <c r="AJ44" i="30" s="1"/>
  <c r="AJ46" i="30" s="1"/>
  <c r="AI83" i="30"/>
  <c r="AI84" i="30" s="1"/>
  <c r="AI85" i="30" s="1"/>
  <c r="AH52" i="30" l="1"/>
  <c r="AI50" i="30"/>
  <c r="AI49" i="30"/>
  <c r="AH87" i="30"/>
  <c r="AH55" i="30"/>
  <c r="AH66" i="30" s="1"/>
  <c r="AJ82" i="30"/>
  <c r="AJ83" i="30" s="1"/>
  <c r="AJ22" i="29"/>
  <c r="AJ64" i="30" s="1"/>
  <c r="AK26" i="29"/>
  <c r="AI48" i="30" l="1"/>
  <c r="AI52" i="30" s="1"/>
  <c r="AJ88" i="30"/>
  <c r="AJ89" i="30" s="1"/>
  <c r="AJ62" i="30"/>
  <c r="AJ84" i="30"/>
  <c r="AJ85" i="30" s="1"/>
  <c r="AH119" i="30"/>
  <c r="AH120" i="30" s="1"/>
  <c r="AH67" i="30"/>
  <c r="AK28" i="29"/>
  <c r="AK19" i="29"/>
  <c r="AI57" i="30" l="1"/>
  <c r="AI55" i="30" s="1"/>
  <c r="AI66" i="30" s="1"/>
  <c r="AI119" i="30" s="1"/>
  <c r="AI120" i="30" s="1"/>
  <c r="AJ49" i="30"/>
  <c r="AJ50" i="30"/>
  <c r="AK29" i="29"/>
  <c r="AK21" i="29"/>
  <c r="AK44" i="30" s="1"/>
  <c r="AK46" i="30" s="1"/>
  <c r="AH68" i="30"/>
  <c r="AI87" i="30" l="1"/>
  <c r="AI67" i="30"/>
  <c r="AI68" i="30" s="1"/>
  <c r="AK22" i="29"/>
  <c r="AK64" i="30" s="1"/>
  <c r="AL26" i="29"/>
  <c r="AK82" i="30"/>
  <c r="AJ48" i="30"/>
  <c r="AK83" i="30" l="1"/>
  <c r="AK84" i="30" s="1"/>
  <c r="AK85" i="30" s="1"/>
  <c r="AK62" i="30"/>
  <c r="AK88" i="30"/>
  <c r="AK89" i="30" s="1"/>
  <c r="AJ57" i="30"/>
  <c r="AJ52" i="30"/>
  <c r="AL28" i="29"/>
  <c r="AL19" i="29"/>
  <c r="AK49" i="30" l="1"/>
  <c r="AK50" i="30"/>
  <c r="AL21" i="29"/>
  <c r="AL44" i="30" s="1"/>
  <c r="AL46" i="30" s="1"/>
  <c r="AL29" i="29"/>
  <c r="AL22" i="29" s="1"/>
  <c r="AL64" i="30" s="1"/>
  <c r="AJ87" i="30"/>
  <c r="AJ55" i="30"/>
  <c r="AJ66" i="30" s="1"/>
  <c r="AM26" i="29"/>
  <c r="AL82" i="30" l="1"/>
  <c r="AM28" i="29"/>
  <c r="AM19" i="29"/>
  <c r="AJ119" i="30"/>
  <c r="AJ120" i="30" s="1"/>
  <c r="AJ67" i="30"/>
  <c r="AL62" i="30"/>
  <c r="AL88" i="30"/>
  <c r="AL89" i="30" s="1"/>
  <c r="AK48" i="30"/>
  <c r="AJ68" i="30" l="1"/>
  <c r="AL83" i="30"/>
  <c r="AM21" i="29"/>
  <c r="AM44" i="30" s="1"/>
  <c r="AM29" i="29"/>
  <c r="AM22" i="29" s="1"/>
  <c r="AM64" i="30" s="1"/>
  <c r="AK57" i="30"/>
  <c r="AK52" i="30"/>
  <c r="AM88" i="30" l="1"/>
  <c r="AM89" i="30" s="1"/>
  <c r="AM62" i="30"/>
  <c r="C62" i="30" s="1"/>
  <c r="C64" i="30"/>
  <c r="AK55" i="30"/>
  <c r="AK66" i="30" s="1"/>
  <c r="AK87" i="30"/>
  <c r="AM46" i="30"/>
  <c r="C44" i="30"/>
  <c r="AL84" i="30"/>
  <c r="AL85" i="30" s="1"/>
  <c r="AK119" i="30" l="1"/>
  <c r="AK120" i="30" s="1"/>
  <c r="AK67" i="30"/>
  <c r="AM82" i="30"/>
  <c r="C46" i="30"/>
  <c r="AL50" i="30"/>
  <c r="AL49" i="30"/>
  <c r="AL48" i="30" l="1"/>
  <c r="AL57" i="30" s="1"/>
  <c r="AK68" i="30"/>
  <c r="AM83" i="30"/>
  <c r="AM84" i="30" s="1"/>
  <c r="AM85" i="30" s="1"/>
  <c r="AL52" i="30" l="1"/>
  <c r="AM49" i="30"/>
  <c r="AM50" i="30"/>
  <c r="C50" i="30" s="1"/>
  <c r="AL55" i="30"/>
  <c r="AL66" i="30" s="1"/>
  <c r="AL87" i="30"/>
  <c r="AL119" i="30" l="1"/>
  <c r="AL120" i="30" s="1"/>
  <c r="AL67" i="30"/>
  <c r="AM48" i="30"/>
  <c r="C49" i="30"/>
  <c r="AM57" i="30" l="1"/>
  <c r="C48" i="30"/>
  <c r="AM52" i="30"/>
  <c r="C52" i="30" s="1"/>
  <c r="AL68" i="30"/>
  <c r="AM87" i="30" l="1"/>
  <c r="AM55" i="30"/>
  <c r="C57" i="30"/>
  <c r="AM66" i="30" l="1"/>
  <c r="C55" i="30"/>
  <c r="AM119" i="30" l="1"/>
  <c r="C72" i="30"/>
  <c r="C71" i="30"/>
  <c r="C66" i="30"/>
  <c r="AM67" i="30"/>
  <c r="AM68" i="30" s="1"/>
  <c r="C73" i="30" l="1"/>
  <c r="AN119" i="30"/>
  <c r="C75" i="30" s="1"/>
  <c r="AM120" i="30"/>
</calcChain>
</file>

<file path=xl/sharedStrings.xml><?xml version="1.0" encoding="utf-8"?>
<sst xmlns="http://schemas.openxmlformats.org/spreadsheetml/2006/main" count="1630" uniqueCount="876">
  <si>
    <t>Custos de Implantação</t>
  </si>
  <si>
    <t>%</t>
  </si>
  <si>
    <t>Custo outorga da terra</t>
  </si>
  <si>
    <t>Quant.</t>
  </si>
  <si>
    <t>R$ Total</t>
  </si>
  <si>
    <t>Item</t>
  </si>
  <si>
    <t>vb</t>
  </si>
  <si>
    <t>1.0</t>
  </si>
  <si>
    <t>1.1</t>
  </si>
  <si>
    <t>Memória de Cálculo de Custos Unitários - Metodologia Cana de Açúcar</t>
  </si>
  <si>
    <t>Observações</t>
  </si>
  <si>
    <t>Descrição</t>
  </si>
  <si>
    <t>und.</t>
  </si>
  <si>
    <t>R$ Unitário</t>
  </si>
  <si>
    <t>Depreciação</t>
  </si>
  <si>
    <t>% Adotado</t>
  </si>
  <si>
    <t>Indíce</t>
  </si>
  <si>
    <t>R$/ha/ano</t>
  </si>
  <si>
    <t>Custo de Outorga da Terra</t>
  </si>
  <si>
    <t>Cultivo de Soja</t>
  </si>
  <si>
    <t>Cultivo de Milho</t>
  </si>
  <si>
    <t>Soja</t>
  </si>
  <si>
    <t>Milho</t>
  </si>
  <si>
    <t>Feijão</t>
  </si>
  <si>
    <t>Investimento e Infraestrutura On-Farm</t>
  </si>
  <si>
    <t>INVESTIMENTOS (R$ x 1.000,00)</t>
  </si>
  <si>
    <t>OBRAS</t>
  </si>
  <si>
    <t>ANO 1</t>
  </si>
  <si>
    <t>ANO 2</t>
  </si>
  <si>
    <t>ANO 3</t>
  </si>
  <si>
    <t>ANO 4</t>
  </si>
  <si>
    <t>ANO 5</t>
  </si>
  <si>
    <t>ANO 6</t>
  </si>
  <si>
    <t>ANO 7</t>
  </si>
  <si>
    <t>ANO 8</t>
  </si>
  <si>
    <t>ANO 9</t>
  </si>
  <si>
    <t>ANO 10</t>
  </si>
  <si>
    <t>ANO 11</t>
  </si>
  <si>
    <t>2. Sistema de Condução:</t>
  </si>
  <si>
    <t>2.1. CP0  Km 42,6 ao 53,96 (11,36 Km)</t>
  </si>
  <si>
    <t>2.2.  CP0  Km 53,96 ao 64,30 (10,24 Km)</t>
  </si>
  <si>
    <t>3. Sistema de Distribuição (ER´s, adutoras e Tomadas de água)</t>
  </si>
  <si>
    <t>4.0. Sistema de Drenagem (Drenos escavado e Bueiros):</t>
  </si>
  <si>
    <t>4.1. Trecho 1 (Km 42 ao 53,96): 3 sistemas</t>
  </si>
  <si>
    <t>4.2. Trecho 2 (Km 53,96 ao 64,30): 3 sistemas</t>
  </si>
  <si>
    <t>5.0. Sistema de Suprimento de Energia (Alimentadores de 34,5 KV):</t>
  </si>
  <si>
    <t>5.1.  Alimentadores 1 e 2</t>
  </si>
  <si>
    <t>6.0. Sistema Viário:</t>
  </si>
  <si>
    <t>6.1. CP0  Km 42,6 ao 53,96 (11,36 Km)</t>
  </si>
  <si>
    <t>6.6. CS-4 (7,1 Km)</t>
  </si>
  <si>
    <t>7.0. Investimentos ON FARM (Parcelar)</t>
  </si>
  <si>
    <t>7.1. Trecho 1: CP0  Km 42,6 ao 53,96</t>
  </si>
  <si>
    <t>7.2.  Trecho  2: CP0  Km 53,96 ao 64,30 + ER-06</t>
  </si>
  <si>
    <t>Total de investimento (R$)</t>
  </si>
  <si>
    <t>Total de área irrigável (ha)</t>
  </si>
  <si>
    <r>
      <rPr>
        <u/>
        <sz val="8"/>
        <color theme="1"/>
        <rFont val="Calibri"/>
        <family val="2"/>
        <scheme val="minor"/>
      </rPr>
      <t>Valores obtidos com base</t>
    </r>
    <r>
      <rPr>
        <sz val="8"/>
        <color theme="1"/>
        <rFont val="Calibri"/>
        <family val="2"/>
        <scheme val="minor"/>
      </rPr>
      <t xml:space="preserve">:    </t>
    </r>
  </si>
  <si>
    <t xml:space="preserve">EBP módulo 2 - Projeto Executivo </t>
  </si>
  <si>
    <t>Obras de Infraestrutura de uso comum</t>
  </si>
  <si>
    <t>R$/ha</t>
  </si>
  <si>
    <t>Total</t>
  </si>
  <si>
    <t>Ano</t>
  </si>
  <si>
    <t>Percentual de Cultivo de Soja</t>
  </si>
  <si>
    <t>Percentual de Cultivo de Milho</t>
  </si>
  <si>
    <t>Percentual do Sistema Implantado - Grãos</t>
  </si>
  <si>
    <t>Impostos - Funrural</t>
  </si>
  <si>
    <t>Impostos - Pis/Cofins</t>
  </si>
  <si>
    <t>K2 - Fixo</t>
  </si>
  <si>
    <t>K2 - Variável</t>
  </si>
  <si>
    <t>Referência</t>
  </si>
  <si>
    <t>Custo da Operação (K2 Fixo)</t>
  </si>
  <si>
    <t>Custo de Consumo de Água (K2 Variavel)</t>
  </si>
  <si>
    <t>Área de Implantação</t>
  </si>
  <si>
    <t>IMPLANTAÇÃO - CULTIVO DE GRÃOS</t>
  </si>
  <si>
    <t>1.2</t>
  </si>
  <si>
    <t>DESCRIÇÃO</t>
  </si>
  <si>
    <t>ÁREA DE IMPLANTAÇÃO</t>
  </si>
  <si>
    <t>TIR</t>
  </si>
  <si>
    <t>CRONOGRAMA DE IMPLANTAÇÃO - PROJETO PÚBLICO BAIXIO DE IRECÊ</t>
  </si>
  <si>
    <t>Área de Implantação - Acumulada</t>
  </si>
  <si>
    <t>Investimentos</t>
  </si>
  <si>
    <t>CSLL - Contribuição Social sobre o Lucro Líquido</t>
  </si>
  <si>
    <t>Prazo de depreciação - Infraestrutura de Uso Comum</t>
  </si>
  <si>
    <t>DEPRECIAÇÃO / AMORTIZAÇÃO - INFRAESTRUTURA DE USO COMUM</t>
  </si>
  <si>
    <t>Valor Total do Investimento</t>
  </si>
  <si>
    <t>R$</t>
  </si>
  <si>
    <t>Percentual de Financiamento</t>
  </si>
  <si>
    <t>Valor Total Financiado</t>
  </si>
  <si>
    <t>Prazo Total</t>
  </si>
  <si>
    <t>Prazo - Carência Principal</t>
  </si>
  <si>
    <t>Prazo Amortização</t>
  </si>
  <si>
    <t>Encargos Financeiros - Juros</t>
  </si>
  <si>
    <t>% aa</t>
  </si>
  <si>
    <t>DEPRECIAÇÃO / AMORTIZAÇÃO - INVESTIMENTOS ON FARM</t>
  </si>
  <si>
    <t>Prazo de depreciação - Investimento On Farm</t>
  </si>
  <si>
    <t>Juros</t>
  </si>
  <si>
    <t>Amortização</t>
  </si>
  <si>
    <t>Valor Total</t>
  </si>
  <si>
    <t>Área total Aproveitada de Grãos</t>
  </si>
  <si>
    <t>Área total Aproveitada de Grãos - Acumulada</t>
  </si>
  <si>
    <t>Área total Aproveitada de Cultivo de Soja</t>
  </si>
  <si>
    <t>Área total Aproveitada de Cultivo de Soja - Acumulada</t>
  </si>
  <si>
    <t>Área total Aproveitada de Cultivo de Milho</t>
  </si>
  <si>
    <t>Área total Aproveitada de Cultivo de Milho - Acumulada</t>
  </si>
  <si>
    <t>Valor de Venda da Terra</t>
  </si>
  <si>
    <t>1. Estação de Bombeamento</t>
  </si>
  <si>
    <t>1.1 Estação de Bombeamento - Módulo 2</t>
  </si>
  <si>
    <t>Total de investimento (%)</t>
  </si>
  <si>
    <t>Algodão</t>
  </si>
  <si>
    <t>Funrural</t>
  </si>
  <si>
    <t>PIS/COFINS</t>
  </si>
  <si>
    <t>Cultivo Soja</t>
  </si>
  <si>
    <t>Cultivo Milho</t>
  </si>
  <si>
    <t>Cultivo Algodão</t>
  </si>
  <si>
    <t>Cálculo de PIS/COFINS</t>
  </si>
  <si>
    <t>PIS/COFINS sb Vendas</t>
  </si>
  <si>
    <t>PIS/COFINS sb Custos</t>
  </si>
  <si>
    <t>EBITDA</t>
  </si>
  <si>
    <t>Margem de EBITDA</t>
  </si>
  <si>
    <t>EBIT</t>
  </si>
  <si>
    <t>IR</t>
  </si>
  <si>
    <t>CSLL</t>
  </si>
  <si>
    <t>Base de Cálculo IR/CSLL</t>
  </si>
  <si>
    <t>Prejuízos Acumulados</t>
  </si>
  <si>
    <t>Redução da Base de Cálculo</t>
  </si>
  <si>
    <t>Tributos sb Lucro</t>
  </si>
  <si>
    <t>LLE</t>
  </si>
  <si>
    <t>Fluxo de Caixa</t>
  </si>
  <si>
    <t>(-) Tributos sb Lucro</t>
  </si>
  <si>
    <t>Fluxo de Caixa Operacional</t>
  </si>
  <si>
    <t>Fluxo de Caixa de Investimento</t>
  </si>
  <si>
    <t>Fluxo de Caixa Livre</t>
  </si>
  <si>
    <t>WACC</t>
  </si>
  <si>
    <t>VPL 35 Anos</t>
  </si>
  <si>
    <t>Perpetuidade</t>
  </si>
  <si>
    <t>VPL</t>
  </si>
  <si>
    <t>DEMONSTRAÇÕES FINANCEIRAS - PROJETO PÚBLICO BAIXIO DE IRECÊ</t>
  </si>
  <si>
    <t>DRE - Demonstração de Resultados do Exercício</t>
  </si>
  <si>
    <t>(+) Faturamento Bruto</t>
  </si>
  <si>
    <t>(-) Tributos sb Venda</t>
  </si>
  <si>
    <t>(=) Receita Operacional Líquida</t>
  </si>
  <si>
    <t>(-) Custos Operacionais</t>
  </si>
  <si>
    <t>(=) EBITDA</t>
  </si>
  <si>
    <t>Cultivo de Algodão</t>
  </si>
  <si>
    <t>Percentual de Cultivo de Algodão</t>
  </si>
  <si>
    <t>Área total Aproveitada de Cultivo de Algodão</t>
  </si>
  <si>
    <t>Área total Aproveitada de Cultivo de Algodão - Acumulada</t>
  </si>
  <si>
    <t>R$/@</t>
  </si>
  <si>
    <t>IR - Imposto de Renda - Alíquota Base</t>
  </si>
  <si>
    <t>IR - Imposto de Renda - Alíquota Adicional</t>
  </si>
  <si>
    <t>Limite Isenção Alíquota Adicional IR</t>
  </si>
  <si>
    <t>Báse de Cálculo do IR/CSLL</t>
  </si>
  <si>
    <t>(+/-) Variação NCG</t>
  </si>
  <si>
    <t>PREMISSAS ADOTADAS</t>
  </si>
  <si>
    <t>PLANILHA DE FINANCIAMENTO - PROJETO PÚBLICO BAIXIO DE IRECÊ</t>
  </si>
  <si>
    <t>Investimento</t>
  </si>
  <si>
    <t>Tranche 1</t>
  </si>
  <si>
    <t>Liberações</t>
  </si>
  <si>
    <t>Alavancagem</t>
  </si>
  <si>
    <t>Carência</t>
  </si>
  <si>
    <t>Juros Contabilizados</t>
  </si>
  <si>
    <t>Saldo Devedor</t>
  </si>
  <si>
    <t>Juros Pagos</t>
  </si>
  <si>
    <t>Prazo</t>
  </si>
  <si>
    <t>Início Amortização</t>
  </si>
  <si>
    <t>Término Amortização</t>
  </si>
  <si>
    <t>Tranche 2</t>
  </si>
  <si>
    <t>Tranche 3</t>
  </si>
  <si>
    <t>Tranche 4</t>
  </si>
  <si>
    <t>Tranche 5</t>
  </si>
  <si>
    <t>Tranche 6</t>
  </si>
  <si>
    <t>Tranche 7</t>
  </si>
  <si>
    <t>Financiamento Consolidado</t>
  </si>
  <si>
    <t>Despesas Financeiras</t>
  </si>
  <si>
    <t>EBT</t>
  </si>
  <si>
    <t>Fluxo de Caixa de Financiamento</t>
  </si>
  <si>
    <t>Pagamento de Juros</t>
  </si>
  <si>
    <t>ICSD</t>
  </si>
  <si>
    <t>EBITDA-(IR/CSLL)</t>
  </si>
  <si>
    <t>Serviço da Dívida</t>
  </si>
  <si>
    <t>Produtividade</t>
  </si>
  <si>
    <t>(R$/ha)</t>
  </si>
  <si>
    <t>Custo de Cultivo</t>
  </si>
  <si>
    <t>Consumo de Água</t>
  </si>
  <si>
    <t>(m3/ha/ano)</t>
  </si>
  <si>
    <t>Custo de Água</t>
  </si>
  <si>
    <t>(R$/ha/ano)</t>
  </si>
  <si>
    <t>(ha)</t>
  </si>
  <si>
    <t>(%)</t>
  </si>
  <si>
    <t>Área</t>
  </si>
  <si>
    <t>Safras/ano</t>
  </si>
  <si>
    <t>Grãos</t>
  </si>
  <si>
    <t>Área Produção</t>
  </si>
  <si>
    <t>Área Irrigada</t>
  </si>
  <si>
    <t>Cana de Açúcar</t>
  </si>
  <si>
    <t>ke</t>
  </si>
  <si>
    <t>Ciclo Financeiro (dias)</t>
  </si>
  <si>
    <t>Custo do Capital Próprio (ke)</t>
  </si>
  <si>
    <t>Custos do Capital de Terceiros (kd)</t>
  </si>
  <si>
    <t>Alavancagem D/(D+E)</t>
  </si>
  <si>
    <t>Custo Médio Ponderado de Capital (WACC)</t>
  </si>
  <si>
    <t>Fluxo de Caixa do Projeto</t>
  </si>
  <si>
    <t>Fluxo de Caixa Acumulado</t>
  </si>
  <si>
    <t>Investimento Infraestrutura On-Farm</t>
  </si>
  <si>
    <t>RESULTADOS</t>
  </si>
  <si>
    <t>Fruticultura</t>
  </si>
  <si>
    <t>Uva</t>
  </si>
  <si>
    <t>Manga</t>
  </si>
  <si>
    <t>Banana</t>
  </si>
  <si>
    <t>IMPLANTAÇÃO - FRUTICULTURA</t>
  </si>
  <si>
    <t>Percentual do Sistema Implantado -Fruticultura</t>
  </si>
  <si>
    <t>Área total Aproveitada de Fruticultura</t>
  </si>
  <si>
    <t>Área total Aproveitada de Fruticultura - Acumulada</t>
  </si>
  <si>
    <t>Cultivo de Uva</t>
  </si>
  <si>
    <t>Cultivo de Manga</t>
  </si>
  <si>
    <t>Cultivo de Banana</t>
  </si>
  <si>
    <t>Área total Aproveitada de Cultivo de Uva</t>
  </si>
  <si>
    <t>Área total Aproveitada de Cultivo de Uva - Acumulada</t>
  </si>
  <si>
    <t>Percentual de Cultivo de Uva</t>
  </si>
  <si>
    <t>Percentual de Cultivo de Manga</t>
  </si>
  <si>
    <t>Área total Aproveitada de Cultivo de Manga</t>
  </si>
  <si>
    <t>Área total Aproveitada de Cultivo de Manga - Acumulada</t>
  </si>
  <si>
    <t>Percentual de Cultivo de Banana</t>
  </si>
  <si>
    <t>Área total Aproveitada de Cultivo de Banana</t>
  </si>
  <si>
    <t>Área total Aproveitada de Cultivo de Banana - Acumulada</t>
  </si>
  <si>
    <t>Cultivo Uva</t>
  </si>
  <si>
    <t>Cultivo Manga</t>
  </si>
  <si>
    <t>Cultivo Banana</t>
  </si>
  <si>
    <t>Atividade</t>
  </si>
  <si>
    <t>Fase</t>
  </si>
  <si>
    <t>Estudos Planos e Relatórios</t>
  </si>
  <si>
    <t>Estudo Ambiental/PBA</t>
  </si>
  <si>
    <t>IUC</t>
  </si>
  <si>
    <t>Implantação</t>
  </si>
  <si>
    <t>Inventário Florestal - IF / Plano de Supressão de Vegetação</t>
  </si>
  <si>
    <t>IUC/Agricultura</t>
  </si>
  <si>
    <t>Plano de Afugentamento, Resgate e Manejo de Fauna</t>
  </si>
  <si>
    <t>Licenças / Autorizações</t>
  </si>
  <si>
    <t>Licença de Implantação - LI</t>
  </si>
  <si>
    <t>Declaração de inexigibilidade de licença ambiental</t>
  </si>
  <si>
    <t>Autorização por procedimento especial de licenciamento - APE</t>
  </si>
  <si>
    <t>Agricultura</t>
  </si>
  <si>
    <t>Renovação da declaração de inexigibilidade</t>
  </si>
  <si>
    <t>Operação</t>
  </si>
  <si>
    <t>Renovação de Autorização por procedimento especial de licenciamento</t>
  </si>
  <si>
    <t>Procedimentos</t>
  </si>
  <si>
    <t>Autorização de Supressão de Vegetação Nativa - ASV</t>
  </si>
  <si>
    <t>Registro de atividade florestal</t>
  </si>
  <si>
    <t>Autorizações para o Manejo de Fauna</t>
  </si>
  <si>
    <t>Declaração de queima controlada</t>
  </si>
  <si>
    <t>Documento de Origem Florestal - DOF - Créditos Florestais</t>
  </si>
  <si>
    <t>Reposição Florestal via recolhimento de recursos para o FERFA</t>
  </si>
  <si>
    <t>Implantação de CETAS temporário no próprio empreendimento</t>
  </si>
  <si>
    <t>Execução do plano de distribuição de mudas e sementes</t>
  </si>
  <si>
    <t>Programas</t>
  </si>
  <si>
    <t>Gestão Ambiental (Supervisão + Gerenciamento)</t>
  </si>
  <si>
    <t>Impl/Oper</t>
  </si>
  <si>
    <t>Educação Ambiental</t>
  </si>
  <si>
    <t>Proteção à Fauna</t>
  </si>
  <si>
    <t>Proteção à Flora</t>
  </si>
  <si>
    <t>Despesas ambientais</t>
  </si>
  <si>
    <t>Opção Adotada:</t>
  </si>
  <si>
    <t>Transgênico</t>
  </si>
  <si>
    <t>Preço de Venda (R$/ ha):</t>
  </si>
  <si>
    <t>Custo Total de Outorga da Terra</t>
  </si>
  <si>
    <t>Preço de Venda Pluma Beneficiada (@/ ha):</t>
  </si>
  <si>
    <t xml:space="preserve">AGRIANUAL 2020            </t>
  </si>
  <si>
    <t>CUTN0601A</t>
  </si>
  <si>
    <t>Algodão - Custo de Produção (R$/ha) - 2019/20</t>
  </si>
  <si>
    <t>ESPECIFICAÇÃO</t>
  </si>
  <si>
    <t>V.U.</t>
  </si>
  <si>
    <t>Qtde.</t>
  </si>
  <si>
    <t>Valor</t>
  </si>
  <si>
    <t>A - OPERAÇÕES</t>
  </si>
  <si>
    <t>A.1. Conservação do solo</t>
  </si>
  <si>
    <t>Manutenção dos terraços</t>
  </si>
  <si>
    <t>HM TP 4x4 125cv + Terraceador de Arrasto 20 discos</t>
  </si>
  <si>
    <t>A.2. Preparo do solo</t>
  </si>
  <si>
    <t>Calagem</t>
  </si>
  <si>
    <t>HM TP 4x4 125cv + Distribuidor Calcário 2,3m³</t>
  </si>
  <si>
    <t>Fosfatagem</t>
  </si>
  <si>
    <t>Subsolagem</t>
  </si>
  <si>
    <t>HM TP 4x4 185cv + Arado Subsolador 9 discos</t>
  </si>
  <si>
    <t>Gradagem pesada</t>
  </si>
  <si>
    <t>HM TP 4x4 185cv + Grade Aradora Pesada 20x32</t>
  </si>
  <si>
    <t>Gradagem intermadiária</t>
  </si>
  <si>
    <t>HM TP 4x4 185cv + Grade aradora 24x26</t>
  </si>
  <si>
    <t>Gradagem niveladora</t>
  </si>
  <si>
    <t>HM TP 4x4 125cv + Grade Niveladora 20x20</t>
  </si>
  <si>
    <t>Serviço braçal</t>
  </si>
  <si>
    <t>HH trabalhador braçal</t>
  </si>
  <si>
    <t>Transportes internos</t>
  </si>
  <si>
    <t>HM Caminhão Toco</t>
  </si>
  <si>
    <t>A.3. Plantio</t>
  </si>
  <si>
    <t>Plantio (algodão)</t>
  </si>
  <si>
    <t>HM TP 4x4 185cv + Plantadeira 7 linhas</t>
  </si>
  <si>
    <t>Tratamento de sementes</t>
  </si>
  <si>
    <t>Tratamento de Sementes</t>
  </si>
  <si>
    <t>A.4. Tratos culturais</t>
  </si>
  <si>
    <t>Adubação de cobertura</t>
  </si>
  <si>
    <t>HM TP 4x4 125cv + Adubador à lanço (1550kg)</t>
  </si>
  <si>
    <t>Aplic. defensivos (terrestre)</t>
  </si>
  <si>
    <t>Aplic. Herbicida (jato dirigido)</t>
  </si>
  <si>
    <t>HM TP 4x4 125cv + Pulverizador 2000l</t>
  </si>
  <si>
    <t>Aplic. defensivos (aérea)</t>
  </si>
  <si>
    <t>R$/ha (Ipanema)</t>
  </si>
  <si>
    <t>Monitoramento de campo</t>
  </si>
  <si>
    <t>A.5. Colheita</t>
  </si>
  <si>
    <t>Colheita mecânica</t>
  </si>
  <si>
    <t>Colhedora algodão 6 linhas</t>
  </si>
  <si>
    <t>Roçada do algodão</t>
  </si>
  <si>
    <t>HM TP 4x4 125cv + Roçadeira central</t>
  </si>
  <si>
    <t>Arranquio da soqueira</t>
  </si>
  <si>
    <t>HM TP 4x4 125cv + Enxada Rotativa</t>
  </si>
  <si>
    <t>A.6. Irrigação</t>
  </si>
  <si>
    <t>Pivo Central</t>
  </si>
  <si>
    <t>R$/mm - HM equip. irrigação                                      </t>
  </si>
  <si>
    <t>Subtotal A</t>
  </si>
  <si>
    <t>B - INSUMOS         </t>
  </si>
  <si>
    <t>B.1. Fertilizantes/Corretivos</t>
  </si>
  <si>
    <t>Calcário dolomítico</t>
  </si>
  <si>
    <t>R$/tonelada</t>
  </si>
  <si>
    <t>MAP</t>
  </si>
  <si>
    <t>Cloreto de Potássio</t>
  </si>
  <si>
    <t>Uréia</t>
  </si>
  <si>
    <t>B.2. Sementes</t>
  </si>
  <si>
    <t>Sementes algodão</t>
  </si>
  <si>
    <t>R$/kg</t>
  </si>
  <si>
    <t>B.3. Defensivos agrícolas</t>
  </si>
  <si>
    <t>Acaricidas</t>
  </si>
  <si>
    <t>R$/litro</t>
  </si>
  <si>
    <t>Fungicidas</t>
  </si>
  <si>
    <t>Herbicidas</t>
  </si>
  <si>
    <t>Inseticidas</t>
  </si>
  <si>
    <r>
      <rPr>
        <sz val="11"/>
        <rFont val="Calibri"/>
        <family val="2"/>
        <scheme val="minor"/>
      </rPr>
      <t>Outros produtos                                                  
Subtotal B                                                             </t>
    </r>
  </si>
  <si>
    <r>
      <rPr>
        <sz val="11"/>
        <rFont val="Calibri"/>
        <family val="2"/>
        <scheme val="minor"/>
      </rPr>
      <t>R$/litro                                                                              
                                                                                            </t>
    </r>
  </si>
  <si>
    <t>Subtotal B</t>
  </si>
  <si>
    <t>C - ADMINISTRAÇÃO   </t>
  </si>
  <si>
    <t>M.O. Administrativa</t>
  </si>
  <si>
    <t>Assistência Técnica</t>
  </si>
  <si>
    <t>Contabil./Escritório</t>
  </si>
  <si>
    <t>Luz/Telefone</t>
  </si>
  <si>
    <t>Conserv./Deprec. Benfeitorias</t>
  </si>
  <si>
    <t>Viagens</t>
  </si>
  <si>
    <t>Impostos/Taxas                                                   </t>
  </si>
  <si>
    <t>% Receita                                                                          </t>
  </si>
  <si>
    <t>Subtotal C                                                             </t>
  </si>
  <si>
    <t>                                                                                            </t>
  </si>
  <si>
    <t>                                                     D - PÓS COLHEITA                                                 </t>
  </si>
  <si>
    <t>Transporte até armazém**</t>
  </si>
  <si>
    <t>Beneficiamento em pluma rend. 39%            </t>
  </si>
  <si>
    <t>R$/@                                                                                 </t>
  </si>
  <si>
    <t>Subtotal D                                                            </t>
  </si>
  <si>
    <r>
      <rPr>
        <b/>
        <sz val="11"/>
        <rFont val="Calibri"/>
        <family val="2"/>
        <scheme val="minor"/>
      </rPr>
      <t>Custo Total Beneficiado (R$/ha)                                                                                   </t>
    </r>
  </si>
  <si>
    <r>
      <rPr>
        <b/>
        <sz val="11"/>
        <rFont val="Calibri"/>
        <family val="2"/>
        <scheme val="minor"/>
      </rPr>
      <t>Custo Total Beneficiado (R$/@)                                                                                   </t>
    </r>
  </si>
  <si>
    <r>
      <rPr>
        <b/>
        <sz val="11"/>
        <rFont val="Calibri"/>
        <family val="2"/>
        <scheme val="minor"/>
      </rPr>
      <t>Receita (R$/ha) Pluma                                                                                                           </t>
    </r>
  </si>
  <si>
    <r>
      <rPr>
        <b/>
        <sz val="11"/>
        <rFont val="Calibri"/>
        <family val="2"/>
        <scheme val="minor"/>
      </rPr>
      <t>Receita (R$/ha) Caroço                                                                                                          </t>
    </r>
  </si>
  <si>
    <r>
      <rPr>
        <b/>
        <sz val="11"/>
        <rFont val="Calibri"/>
        <family val="2"/>
        <scheme val="minor"/>
      </rPr>
      <t>Resultado (R$/ha)                                                                                                                   </t>
    </r>
  </si>
  <si>
    <r>
      <rPr>
        <b/>
        <sz val="11"/>
        <rFont val="Calibri"/>
        <family val="2"/>
        <scheme val="minor"/>
      </rPr>
      <t>Resultado (R$/@)                                                                                                                    </t>
    </r>
  </si>
  <si>
    <t>Margem sobre a venda                          </t>
  </si>
  <si>
    <t>                                                                               </t>
  </si>
  <si>
    <r>
      <rPr>
        <b/>
        <sz val="11"/>
        <rFont val="Calibri"/>
        <family val="2"/>
        <scheme val="minor"/>
      </rPr>
      <t>Preço Projetado Recebido pelo Produtor (R$/@)                                                            </t>
    </r>
  </si>
  <si>
    <r>
      <rPr>
        <b/>
        <sz val="11"/>
        <rFont val="Calibri"/>
        <family val="2"/>
        <scheme val="minor"/>
      </rPr>
      <t>Preço Projetado Recebido pelo Produtor (R$/ton)                                                          </t>
    </r>
  </si>
  <si>
    <r>
      <rPr>
        <b/>
        <sz val="11"/>
        <rFont val="Calibri"/>
        <family val="2"/>
        <scheme val="minor"/>
      </rPr>
      <t>Tecnologia                                                                                                                                 </t>
    </r>
  </si>
  <si>
    <r>
      <rPr>
        <b/>
        <sz val="11"/>
        <rFont val="Calibri"/>
        <family val="2"/>
        <scheme val="minor"/>
      </rPr>
      <t>Região de referência                                                                                                               </t>
    </r>
  </si>
  <si>
    <r>
      <rPr>
        <b/>
        <sz val="11"/>
        <rFont val="Calibri"/>
        <family val="2"/>
        <scheme val="minor"/>
      </rPr>
      <t>                                                              Barreiras/BA                                                               </t>
    </r>
  </si>
  <si>
    <r>
      <rPr>
        <sz val="6"/>
        <rFont val="Calibri"/>
        <family val="2"/>
      </rPr>
      <t xml:space="preserve">Atualizado em julhoƒ2018 em Valores Nominais. Na ocasião, o dólar médio norte-americano estava cotado em R$3,8231.
</t>
    </r>
    <r>
      <rPr>
        <sz val="6"/>
        <rFont val="Calibri"/>
        <family val="2"/>
      </rPr>
      <t xml:space="preserve">Fonte: IEG|FNP                                                   ** Caroço do algodão é dado em troca do beneficiamento
</t>
    </r>
    <r>
      <rPr>
        <b/>
        <sz val="7"/>
        <rFont val="Calibri"/>
        <family val="2"/>
      </rPr>
      <t xml:space="preserve">Para melhor esclarecimento dessa tabela consulte o </t>
    </r>
    <r>
      <rPr>
        <i/>
        <sz val="7"/>
        <rFont val="Calibri"/>
        <family val="2"/>
      </rPr>
      <t xml:space="preserve">help  car </t>
    </r>
    <r>
      <rPr>
        <b/>
        <sz val="7"/>
        <rFont val="Calibri"/>
        <family val="2"/>
      </rPr>
      <t>n</t>
    </r>
    <r>
      <rPr>
        <i/>
        <sz val="7"/>
        <rFont val="Calibri"/>
        <family val="2"/>
      </rPr>
      <t>d</t>
    </r>
    <r>
      <rPr>
        <b/>
        <sz val="7"/>
        <rFont val="Calibri"/>
        <family val="2"/>
      </rPr>
      <t xml:space="preserve">as páginas 14 e 15
</t>
    </r>
    <r>
      <rPr>
        <vertAlign val="superscript"/>
        <sz val="8"/>
        <color rgb="FFB3B2B2"/>
        <rFont val="Arial"/>
        <family val="2"/>
      </rPr>
      <t xml:space="preserve">124                                                                                                                      </t>
    </r>
    <r>
      <rPr>
        <sz val="7"/>
        <color rgb="FFB3B2B2"/>
        <rFont val="Arial"/>
        <family val="2"/>
      </rPr>
      <t xml:space="preserve">IEG | FNP          </t>
    </r>
    <r>
      <rPr>
        <sz val="7"/>
        <color rgb="FFB3B2B2"/>
        <rFont val="Arial Narrow"/>
        <family val="2"/>
      </rPr>
      <t xml:space="preserve">+55 11  4504-1414           </t>
    </r>
    <r>
      <rPr>
        <sz val="7"/>
        <color rgb="FFB3B2B2"/>
        <rFont val="Arial"/>
        <family val="2"/>
      </rPr>
      <t>www.informaecon-fnp.com</t>
    </r>
  </si>
  <si>
    <t>Atualizado em agosto/2019 em Valores Nominais. Na ocasião, o dólar médio norte-americano estava cotado em R$4,027.</t>
  </si>
  <si>
    <t>* Produtividade em Pluma                                      ** Caroço do algodão é dado em troca do beneficiamento</t>
  </si>
  <si>
    <t>Fonte: IEG|FNP</t>
  </si>
  <si>
    <t>IEG | FNP          +55 11  4504-1414           www.informaecon-fnp.com</t>
  </si>
  <si>
    <t>CUTN1401</t>
  </si>
  <si>
    <t>Banana - Custo de Produção (R$/ha) - 2019</t>
  </si>
  <si>
    <t>Produtividade Esperada:</t>
  </si>
  <si>
    <t>Espaçamento: 2,0 x 2,5 m</t>
  </si>
  <si>
    <t>Densidade (pés/ha): 2.000 plantas/ha</t>
  </si>
  <si>
    <t>Solo referencial: Aluvião</t>
  </si>
  <si>
    <t>Variedade: Grand Naime</t>
  </si>
  <si>
    <t>Módulo Ideal: 20 ha</t>
  </si>
  <si>
    <t>Produtividade Média: 39,0 t/ha/ano</t>
  </si>
  <si>
    <t>FASE DE FORMAÇÃO</t>
  </si>
  <si>
    <t>PRODUÇÃO  CRESCENTE</t>
  </si>
  <si>
    <t>PRODUÇÃO ESTÁVEL</t>
  </si>
  <si>
    <t>ANO 4 AO 5</t>
  </si>
  <si>
    <t>  Qtde.  </t>
  </si>
  <si>
    <t>  Valor  </t>
  </si>
  <si>
    <t>A - OPERAÇÕES MECANIZADAS</t>
  </si>
  <si>
    <t>A.1. Preparo de Solo</t>
  </si>
  <si>
    <t>Constr. valas drenagem</t>
  </si>
  <si>
    <t>Retroescavadeira 75 cv</t>
  </si>
  <si>
    <t>Construção de carreadores</t>
  </si>
  <si>
    <t>Trator de Esteira</t>
  </si>
  <si>
    <t>HM TP 4x4 85cv + Arado Subsolador 3 discos</t>
  </si>
  <si>
    <t>Aração</t>
  </si>
  <si>
    <t>HM TP 4x4 85cv + Arado Fixo 3 discos</t>
  </si>
  <si>
    <t>HM TP 4x4 85cv + Distribuidor Calcário 1,4m³</t>
  </si>
  <si>
    <t>Gradagem niveladora (2x)</t>
  </si>
  <si>
    <t>HM TP 4x4 85cv + Grade Niveladora 20x20</t>
  </si>
  <si>
    <t>Sulcamento para plantio</t>
  </si>
  <si>
    <t>HM TP 4x4 85cv + Sulcador 1 linha</t>
  </si>
  <si>
    <t>A.2. Implantação</t>
  </si>
  <si>
    <t>Distribuição de mudas</t>
  </si>
  <si>
    <t>HM TP 4x4 85cv + Carreta madeira (4000kg)</t>
  </si>
  <si>
    <t>A.3. Tratos Culturais</t>
  </si>
  <si>
    <t>Transporte interno de adubo</t>
  </si>
  <si>
    <t>Transporte interno de calcário</t>
  </si>
  <si>
    <t>Conservação drenos</t>
  </si>
  <si>
    <t>Pulverização aérea(7,9,9,9x)</t>
  </si>
  <si>
    <t>Avião Ipanema (R$/litro aplicado)</t>
  </si>
  <si>
    <t>Manutenção de carreador</t>
  </si>
  <si>
    <t>Retroescavadeira 75 cv                                        </t>
  </si>
  <si>
    <t>                                                                                  </t>
  </si>
  <si>
    <t>B - OPERAÇÕES MANUAIS</t>
  </si>
  <si>
    <t>B.1. Preparo de Solo</t>
  </si>
  <si>
    <t>Homem-dia</t>
  </si>
  <si>
    <t>Loc. niv. terr. carr.</t>
  </si>
  <si>
    <t>Dia técnico</t>
  </si>
  <si>
    <t>B.2. Implantação</t>
  </si>
  <si>
    <t>Sel. transp./Dist. mudas</t>
  </si>
  <si>
    <t>Abertura de cova</t>
  </si>
  <si>
    <t>Distribuição de inseticida e micronutrientes na cova</t>
  </si>
  <si>
    <t>Plantio</t>
  </si>
  <si>
    <t>B.3. Tratos Culturais</t>
  </si>
  <si>
    <t>Adubação (2,3,3,3x)</t>
  </si>
  <si>
    <t>Limpeza valetas</t>
  </si>
  <si>
    <t>Roçada manual (Ceifa) (2x)</t>
  </si>
  <si>
    <t>Desbaste/Limpeza (1,3,3,3x)</t>
  </si>
  <si>
    <t>Desbaste de folhas ou “cirurgia” (7,9,9,9x)</t>
  </si>
  <si>
    <t>Escoramento</t>
  </si>
  <si>
    <t>Pulverização de cachos</t>
  </si>
  <si>
    <t>Aplicação de inseticida</t>
  </si>
  <si>
    <t>Ensacamento cachos</t>
  </si>
  <si>
    <t>Aplicação de herbicida</t>
  </si>
  <si>
    <t>B.4. Colheita</t>
  </si>
  <si>
    <t>Colheita</t>
  </si>
  <si>
    <t>Homem-dia                                                            </t>
  </si>
  <si>
    <t>VALOR A TRANSPORTAR</t>
  </si>
  <si>
    <t>C - INSUMOS (CIF)</t>
  </si>
  <si>
    <t>C.1. Fertilizantes (*)</t>
  </si>
  <si>
    <t>Calcário</t>
  </si>
  <si>
    <t>Superfosfato Simples</t>
  </si>
  <si>
    <t>Sulfato de Amônio</t>
  </si>
  <si>
    <t>Micronutrientes (FTE ou FMA banana)</t>
  </si>
  <si>
    <t>Formulado (14-07-28, 11-07-35; 13-13-28)</t>
  </si>
  <si>
    <t>C.2. Fitossanitários</t>
  </si>
  <si>
    <t>Óleo Mineral (8,10,10,10x)</t>
  </si>
  <si>
    <t>Fungicida (8,10,10,10x)</t>
  </si>
  <si>
    <t>Inseticida controle broca</t>
  </si>
  <si>
    <t>R$/Kg</t>
  </si>
  <si>
    <t>Inseticida pulv. cachos</t>
  </si>
  <si>
    <t>Herbicida (glufosinato de amônia)</t>
  </si>
  <si>
    <t>Herbicida para valas e carreadores</t>
  </si>
  <si>
    <t>C.4. Mudas (laboratório)</t>
  </si>
  <si>
    <t>R$/unidade</t>
  </si>
  <si>
    <t>C.5. Outros</t>
  </si>
  <si>
    <t>Sacos para cachos</t>
  </si>
  <si>
    <t>R$/1000</t>
  </si>
  <si>
    <t>Bambu para escorar</t>
  </si>
  <si>
    <t>R$/dúzia</t>
  </si>
  <si>
    <t>Cascalho para carreador                                      </t>
  </si>
  <si>
    <t>R$/m3                                                                     </t>
  </si>
  <si>
    <t>Subtotal C</t>
  </si>
  <si>
    <t>D - ADMINISTRAÇÃO</t>
  </si>
  <si>
    <t>Administrador/Auxiliares</t>
  </si>
  <si>
    <t>Agrônomo próprio/visita</t>
  </si>
  <si>
    <t>Contabilidade/Escritório</t>
  </si>
  <si>
    <t>Luz / Telefone</t>
  </si>
  <si>
    <t>Conserv./Deprec. Benf.</t>
  </si>
  <si>
    <t>Impostos/Taxas                                                     </t>
  </si>
  <si>
    <t>% Receitas                                                              </t>
  </si>
  <si>
    <t>Subtotal D                                                               </t>
  </si>
  <si>
    <t>Custo total (R$/ha/ano)                           </t>
  </si>
  <si>
    <t>                                                                </t>
  </si>
  <si>
    <r>
      <rPr>
        <b/>
        <sz val="11"/>
        <rFont val="Calibri"/>
        <family val="2"/>
        <scheme val="minor"/>
      </rPr>
      <t>Custo por tonelada produzida na vida útil                                                                  </t>
    </r>
  </si>
  <si>
    <t>Receita (R$/ha/ano)                                 </t>
  </si>
  <si>
    <t>Resultado Acumulado (R$/ha)               </t>
  </si>
  <si>
    <t>Preço médio 2017/2018                          </t>
  </si>
  <si>
    <t>                                                                      </t>
  </si>
  <si>
    <t>Região referencial:                                    </t>
  </si>
  <si>
    <t>Vale do Ribeira/SP</t>
  </si>
  <si>
    <t>HM = Hora Máquina</t>
  </si>
  <si>
    <t>V.U. = Valor Unitário</t>
  </si>
  <si>
    <t>Tp = Trator de pneus</t>
  </si>
  <si>
    <t>Te = Trator de esteiras</t>
  </si>
  <si>
    <t>Obs.: Os custos não incluem encargos financeiros sobre o custeio e sobre os investimentos</t>
  </si>
  <si>
    <t xml:space="preserve">            Considerada a produção da Banana como semestral - 2 safras / ano.</t>
  </si>
  <si>
    <t xml:space="preserve">            Na produção foi descartado 13% de engaço e frutos menores</t>
  </si>
  <si>
    <t xml:space="preserve">            (1,2,3x...): Número de vezes que a operação é efetuada por ano, a partir do primeiro ano.</t>
  </si>
  <si>
    <t xml:space="preserve">            (*) Insumos: Valores Médios. É necessário fazer análise do solo.</t>
  </si>
  <si>
    <t xml:space="preserve">            Atualizado em agosto/2019 em Valores Nominais. Na ocasião, o dólar médio norte-americano estava cotado em R$4,027.</t>
  </si>
  <si>
    <t>Fontes: IEG|FNP/ Eng.º Agr.º Dr.º Edson Shigueaki Nomura (Pesquisador Científico, APTA - Polo Regional Vale do Ribeira).</t>
  </si>
  <si>
    <t xml:space="preserve">AGRIANUAL 2020          </t>
  </si>
  <si>
    <t>Manutenção de terraços</t>
  </si>
  <si>
    <t>Subtotal A                                                    </t>
  </si>
  <si>
    <t>                                                                                     </t>
  </si>
  <si>
    <t>B - INSUMOS</t>
  </si>
  <si>
    <t>B.2. Sementes/Mat. plantio</t>
  </si>
  <si>
    <t>Sementes</t>
  </si>
  <si>
    <t>Subtotal B                                               </t>
  </si>
  <si>
    <t>Subtotal C                                                     </t>
  </si>
  <si>
    <t>Transporte até armazém</t>
  </si>
  <si>
    <t>Subtotal D                                                    </t>
  </si>
  <si>
    <t>Região de referência                        </t>
  </si>
  <si>
    <t>                              </t>
  </si>
  <si>
    <r>
      <rPr>
        <sz val="10"/>
        <rFont val="Calibri"/>
        <family val="2"/>
      </rPr>
      <t>Atualizado em agosto/2019 em Valores Nominais. Na ocasião, o dólar médio norte-americano estava cotado em R$ 4,027.</t>
    </r>
    <r>
      <rPr>
        <vertAlign val="superscript"/>
        <sz val="8"/>
        <color rgb="FFB3B2B2"/>
        <rFont val="Arial"/>
        <family val="2"/>
      </rPr>
      <t/>
    </r>
  </si>
  <si>
    <t>* 1ª safra corresponde ao plantio de julho a outubro.</t>
  </si>
  <si>
    <t>** 2ª safra corresponde ao plantio de fevereiro a abril.</t>
  </si>
  <si>
    <t>CUTN4802</t>
  </si>
  <si>
    <t>Manga (Petrolina - PE) - (R$/ha) - 2019</t>
  </si>
  <si>
    <t>Espaçamento: 7,0 x 4,5m</t>
  </si>
  <si>
    <t>Ano 3 =</t>
  </si>
  <si>
    <t>Densidade (pés/ha): 317</t>
  </si>
  <si>
    <t>Destino: Mesa</t>
  </si>
  <si>
    <t>Ano 4 =</t>
  </si>
  <si>
    <t>Solo Preferencial: Podzolizado</t>
  </si>
  <si>
    <t>Ano 5 =</t>
  </si>
  <si>
    <t>Ano 6 ao 20 =</t>
  </si>
  <si>
    <t>FASE IMPRODUTIVA 
FORMAÇÃO</t>
  </si>
  <si>
    <t>MANUTENÇÃO
PROD. CRESCENTE</t>
  </si>
  <si>
    <t>MANUTENÇ.
P. ESTÁVEL</t>
  </si>
  <si>
    <t>ANO 6 ao 20</t>
  </si>
  <si>
    <t>A - OPERAÇÕES MECANIZADAS</t>
  </si>
  <si>
    <t>A1. Preparo de Solo</t>
  </si>
  <si>
    <t>Gradagem Pesada (2x)</t>
  </si>
  <si>
    <t>HM TP 4x4 95cv + Grade aradora 16x26</t>
  </si>
  <si>
    <t>Gradagem Niveladora (2x)</t>
  </si>
  <si>
    <t>HM TP 4x4 95cv + Grade Niveladora 28x22</t>
  </si>
  <si>
    <t>HM TP 4x4 95cv + Distribuidor Calcário 2,3m³</t>
  </si>
  <si>
    <t xml:space="preserve">Construção de Niveladas </t>
  </si>
  <si>
    <t>HM TP 4x4 95cv + Terraceador de Arrasto</t>
  </si>
  <si>
    <t xml:space="preserve">Subsolagem </t>
  </si>
  <si>
    <t>HM TP 4x4 95cv + Arado Subsolador 3 discos</t>
  </si>
  <si>
    <t>Construção de Carreadores</t>
  </si>
  <si>
    <t>Motoniveladora 125cv</t>
  </si>
  <si>
    <t>A2. Implantação</t>
  </si>
  <si>
    <t>Sulc. Linha de Plantio (2x)</t>
  </si>
  <si>
    <t>HM TP 4x4 70cv + Sulcador 1 linha</t>
  </si>
  <si>
    <t>Adubação de Cova</t>
  </si>
  <si>
    <t>HM TP 4x4 70cv + Cultivador Adubador (7 enxadas)</t>
  </si>
  <si>
    <t>Tutoramento</t>
  </si>
  <si>
    <t>HM TP 4x4 70cv + Carreta madeira (4000kg)</t>
  </si>
  <si>
    <t>A3. Tratos Culturais</t>
  </si>
  <si>
    <t>Aplic.Herbicida (1,4,4,4,4,4x)</t>
  </si>
  <si>
    <t>HM TP 4x4 70cv + Pulverizador 400litros</t>
  </si>
  <si>
    <t>Roçagem (2,4,4,4,4,4x)</t>
  </si>
  <si>
    <t>HM TP 4x4 70cv + Roçadeira central</t>
  </si>
  <si>
    <t>Gradagem nas Entrelinhas</t>
  </si>
  <si>
    <t>HM TP 4x4 70cv + Grade niveladora 24x18</t>
  </si>
  <si>
    <t>Adubação</t>
  </si>
  <si>
    <t>HM TP 4x4 70cv + Adubador à lanço (950kg)</t>
  </si>
  <si>
    <t>Pulveriz. (1,2,10,12,14,14x)</t>
  </si>
  <si>
    <t>HM TP 4x4 75cv + Pulverizador Turboatomizador 2000l</t>
  </si>
  <si>
    <t>Manutenção de Carreador</t>
  </si>
  <si>
    <t>HM TP 4x4 70cv + Plaina Traseira 2,3m</t>
  </si>
  <si>
    <t>A4. Irrigação (*)</t>
  </si>
  <si>
    <t>Irrigação</t>
  </si>
  <si>
    <t>A5. Colheita</t>
  </si>
  <si>
    <t>B1. Preparo de Solo</t>
  </si>
  <si>
    <t>B2. Implantação</t>
  </si>
  <si>
    <t>Estaqueamento</t>
  </si>
  <si>
    <t>Adubação de cova</t>
  </si>
  <si>
    <t>Abertura de Covas</t>
  </si>
  <si>
    <t>Replantio</t>
  </si>
  <si>
    <t>B3. Tratos Culturais</t>
  </si>
  <si>
    <t>Pulverização (1,2,10,12,14,14x)</t>
  </si>
  <si>
    <t>Poda de frutificação</t>
  </si>
  <si>
    <t>Limpeza das paniculas</t>
  </si>
  <si>
    <t>Indução</t>
  </si>
  <si>
    <t>Proteção frutos contra sol</t>
  </si>
  <si>
    <t>Regulad. crescimento</t>
  </si>
  <si>
    <t>Poda de Formação</t>
  </si>
  <si>
    <t>Combate à Formiga (12x)</t>
  </si>
  <si>
    <t>B4. Colheita</t>
  </si>
  <si>
    <t>Transporte Interno</t>
  </si>
  <si>
    <t>C - INSUMOS</t>
  </si>
  <si>
    <t>C1. Fertilizantes (*)</t>
  </si>
  <si>
    <t>Micronutrientes  FTE BR -11</t>
  </si>
  <si>
    <t>Sulfato de magnésio</t>
  </si>
  <si>
    <t>Nitrato de cálcio</t>
  </si>
  <si>
    <t>C2. Fitossanitários</t>
  </si>
  <si>
    <t>Regulador crescimento</t>
  </si>
  <si>
    <t>Inseticida</t>
  </si>
  <si>
    <t>Fungicida</t>
  </si>
  <si>
    <t>Espalhante</t>
  </si>
  <si>
    <t>Formicida</t>
  </si>
  <si>
    <t>C3. Herbicidas</t>
  </si>
  <si>
    <t>Pós emergente</t>
  </si>
  <si>
    <t>C4. Mudas</t>
  </si>
  <si>
    <t>Mudas de manga</t>
  </si>
  <si>
    <t>D - ADMINISTRAÇÃO</t>
  </si>
  <si>
    <t>Conserv./Manutenção</t>
  </si>
  <si>
    <t>Água / irrigação</t>
  </si>
  <si>
    <t>% Receita</t>
  </si>
  <si>
    <t>Impostos/Taxas</t>
  </si>
  <si>
    <t>Custo Total (R$/ano)                                                                                                                                           </t>
  </si>
  <si>
    <t>Custo por tonelada produzida na vida útil                                                                                                                              </t>
  </si>
  <si>
    <t>Receita (R$/ha/ano)                                                                                                                                                  </t>
  </si>
  <si>
    <t>Resultado acumulado (R$/ha)                                                                                                                                             </t>
  </si>
  <si>
    <t>Preço médio esperado em 2018/19</t>
  </si>
  <si>
    <t>Vale so São Francisco - PE - Petrolina</t>
  </si>
  <si>
    <t>Obs. Os custos não incluem encargos financeiros sobre o custeio e nem sobre os investimentos</t>
  </si>
  <si>
    <t>(1x,2x,3x): Número de vezes que a operação é efetuada por ano, a partir do primeiro ano, multiplicada pelo rendimento (horas/ha ou HD/ha)</t>
  </si>
  <si>
    <t>(*) Irrigação: Nos anos 2, 3, 4 ao 10  foram considerados 10% depreciação e 2,5% manutenção sobre o valor do equip. de irrigação.</t>
  </si>
  <si>
    <t>(**) Insumos:  Valores Médios. É necessário fazer análise de solo.</t>
  </si>
  <si>
    <t>CUTN5301B</t>
  </si>
  <si>
    <t>Milho 1ª Safra  - Custo de Produção (R$/ha) - 2019/20</t>
  </si>
  <si>
    <t>     Qtde.     </t>
  </si>
  <si>
    <t>     Total     </t>
  </si>
  <si>
    <t>    Qtde.     </t>
  </si>
  <si>
    <t>HM TP 4x4 185cv + Terraceador de Arrasto 20 discos</t>
  </si>
  <si>
    <t>HM TP 4x4 165cv + Distribuidor Calcário 2,3m³</t>
  </si>
  <si>
    <t>HM TP 4x4 185cv + Plantadeira  21 linhas x 17cm</t>
  </si>
  <si>
    <t>HM TP 4x4 125cv + Cultivador Hidráulico (7 enxadas)</t>
  </si>
  <si>
    <t>Aplicação de Defensivos</t>
  </si>
  <si>
    <t>Pulverizador Automotriz 3000l</t>
  </si>
  <si>
    <t>Combate à formigas/cupins</t>
  </si>
  <si>
    <t>Colhedora de grãos 350cv</t>
  </si>
  <si>
    <t>Subtotal A</t>
  </si>
  <si>
    <t>Calcário Dolomítico</t>
  </si>
  <si>
    <t>08-24-16 + Micronutrientes</t>
  </si>
  <si>
    <t>R$/60.000</t>
  </si>
  <si>
    <t>Formicidas</t>
  </si>
  <si>
    <t>Outros</t>
  </si>
  <si>
    <t>Subtotal B</t>
  </si>
  <si>
    <t>C - ADMINISTRAÇÃO</t>
  </si>
  <si>
    <t>Subtotal C</t>
  </si>
  <si>
    <t>D - PÓS COLHEITA</t>
  </si>
  <si>
    <t>Recebimento/Limpeza/Secagem</t>
  </si>
  <si>
    <t>Armazenagem (1 mês)</t>
  </si>
  <si>
    <t>Taxa administrativa</t>
  </si>
  <si>
    <t>Subtotal D</t>
  </si>
  <si>
    <r>
      <rPr>
        <b/>
        <sz val="11"/>
        <rFont val="Calibri"/>
        <family val="2"/>
        <scheme val="minor"/>
      </rPr>
      <t>Custo Total (R$/ha)                                                                                         </t>
    </r>
  </si>
  <si>
    <r>
      <rPr>
        <b/>
        <sz val="11"/>
        <rFont val="Calibri"/>
        <family val="2"/>
        <scheme val="minor"/>
      </rPr>
      <t>Custo Total (R$/sc 60 kg)                                                                               </t>
    </r>
  </si>
  <si>
    <r>
      <rPr>
        <b/>
        <sz val="11"/>
        <rFont val="Calibri"/>
        <family val="2"/>
        <scheme val="minor"/>
      </rPr>
      <t>Receita (R$/ha)                                                                                                </t>
    </r>
  </si>
  <si>
    <r>
      <rPr>
        <b/>
        <sz val="11"/>
        <rFont val="Calibri"/>
        <family val="2"/>
        <scheme val="minor"/>
      </rPr>
      <t>Resultado (R$/ha)                                                                                           </t>
    </r>
  </si>
  <si>
    <r>
      <rPr>
        <b/>
        <sz val="11"/>
        <rFont val="Calibri"/>
        <family val="2"/>
        <scheme val="minor"/>
      </rPr>
      <t>Margem sobre a venda                                                                                         </t>
    </r>
  </si>
  <si>
    <r>
      <rPr>
        <b/>
        <sz val="11"/>
        <rFont val="Calibri"/>
        <family val="2"/>
        <scheme val="minor"/>
      </rPr>
      <t>Preço Projetado (R$/sc 60 kg)                                                                      </t>
    </r>
  </si>
  <si>
    <r>
      <rPr>
        <b/>
        <sz val="11"/>
        <rFont val="Calibri"/>
        <family val="2"/>
        <scheme val="minor"/>
      </rPr>
      <t>Tecnologia                                                                                                                </t>
    </r>
  </si>
  <si>
    <r>
      <rPr>
        <b/>
        <sz val="11"/>
        <rFont val="Calibri"/>
        <family val="2"/>
        <scheme val="minor"/>
      </rPr>
      <t>Região de referência                                                                                              </t>
    </r>
  </si>
  <si>
    <r>
      <rPr>
        <b/>
        <sz val="11"/>
        <rFont val="Calibri"/>
        <family val="2"/>
        <scheme val="minor"/>
      </rPr>
      <t>                                                                     Barreiras/BA                                                                      </t>
    </r>
  </si>
  <si>
    <t>Atualizado em agosto/2019 em Valores Nominais. Na ocasião, o dólar médio norte-americano estava cotado em R$ 4,027.</t>
  </si>
  <si>
    <t>Fontes: IEG|FNP</t>
  </si>
  <si>
    <t>CUTN6501G</t>
  </si>
  <si>
    <t>Soja - Custo de Produção (R$/ha)  - 2019/20</t>
  </si>
  <si>
    <t>Custo do Frete - Origem: Luiz Eduardo Magalhães</t>
  </si>
  <si>
    <t>Destino: Aratuípe</t>
  </si>
  <si>
    <t>Distância: 1050</t>
  </si>
  <si>
    <t>Custo (R$/ton): 195,30</t>
  </si>
  <si>
    <r>
      <rPr>
        <b/>
        <sz val="12"/>
        <rFont val="Calibri"/>
        <family val="2"/>
        <scheme val="minor"/>
      </rPr>
      <t>ESPECIFICAÇÃO
                                                                     </t>
    </r>
  </si>
  <si>
    <t>    V.U.    </t>
  </si>
  <si>
    <t>   Qtde.   </t>
  </si>
  <si>
    <r>
      <rPr>
        <b/>
        <sz val="12"/>
        <rFont val="Calibri"/>
        <family val="2"/>
        <scheme val="minor"/>
      </rPr>
      <t xml:space="preserve">   Valor   </t>
    </r>
  </si>
  <si>
    <t>HM TP 4x4 125cv + Terraceador de Arrasto 18 discos</t>
  </si>
  <si>
    <t>HM TP 4x4 185cv + Plantadeira 13 linhas à vácuo</t>
  </si>
  <si>
    <t>Aplicação de defensivos</t>
  </si>
  <si>
    <t>B - INSUMOS</t>
  </si>
  <si>
    <t>02-20-20 + Micronutriente</t>
  </si>
  <si>
    <t>Semente</t>
  </si>
  <si>
    <t>Inoculante + micronutrientes</t>
  </si>
  <si>
    <t>R$/100ml</t>
  </si>
  <si>
    <t>Tratamento de sementes industrial</t>
  </si>
  <si>
    <t>R$/kg de semente</t>
  </si>
  <si>
    <t>Outros produtos químicos</t>
  </si>
  <si>
    <r>
      <rPr>
        <b/>
        <sz val="11"/>
        <rFont val="Calibri"/>
        <family val="2"/>
        <scheme val="minor"/>
      </rPr>
      <t>Custo Total (R$/ha)                                                                                                   </t>
    </r>
  </si>
  <si>
    <r>
      <rPr>
        <b/>
        <sz val="11"/>
        <rFont val="Calibri"/>
        <family val="2"/>
        <scheme val="minor"/>
      </rPr>
      <t>Custo Total (R$/sc 60 kg)                                                                                         </t>
    </r>
  </si>
  <si>
    <r>
      <rPr>
        <b/>
        <sz val="11"/>
        <rFont val="Calibri"/>
        <family val="2"/>
        <scheme val="minor"/>
      </rPr>
      <t>Receita (R$/ha)                                                                                                          </t>
    </r>
  </si>
  <si>
    <r>
      <rPr>
        <b/>
        <sz val="11"/>
        <rFont val="Calibri"/>
        <family val="2"/>
        <scheme val="minor"/>
      </rPr>
      <t>Resultado (R$/ha)                                                                                                     </t>
    </r>
  </si>
  <si>
    <r>
      <rPr>
        <b/>
        <sz val="11"/>
        <rFont val="Calibri"/>
        <family val="2"/>
        <scheme val="minor"/>
      </rPr>
      <t>Margem sobre a venda                                                                                                   </t>
    </r>
  </si>
  <si>
    <r>
      <rPr>
        <b/>
        <sz val="11"/>
        <rFont val="Calibri"/>
        <family val="2"/>
        <scheme val="minor"/>
      </rPr>
      <t>Preço Projetado (R$/sc 60 kg)                                                                                </t>
    </r>
  </si>
  <si>
    <r>
      <rPr>
        <b/>
        <sz val="11"/>
        <rFont val="Calibri"/>
        <family val="2"/>
        <scheme val="minor"/>
      </rPr>
      <t>Valor médio de arrendamento para a região (R$/ha)                                               </t>
    </r>
  </si>
  <si>
    <r>
      <rPr>
        <b/>
        <sz val="11"/>
        <rFont val="Calibri"/>
        <family val="2"/>
        <scheme val="minor"/>
      </rPr>
      <t>Resultado com arrendamento de terra (R$/ha)                                                         </t>
    </r>
  </si>
  <si>
    <r>
      <rPr>
        <b/>
        <sz val="11"/>
        <rFont val="Calibri"/>
        <family val="2"/>
        <scheme val="minor"/>
      </rPr>
      <t>Margem do arrendatário                                                                                                </t>
    </r>
  </si>
  <si>
    <r>
      <rPr>
        <b/>
        <sz val="11"/>
        <rFont val="Calibri"/>
        <family val="2"/>
        <scheme val="minor"/>
      </rPr>
      <t>Tecnologia                                                                                                                          </t>
    </r>
  </si>
  <si>
    <t>Transgênico 2ª geração</t>
  </si>
  <si>
    <r>
      <rPr>
        <b/>
        <sz val="11"/>
        <rFont val="Calibri"/>
        <family val="2"/>
        <scheme val="minor"/>
      </rPr>
      <t>Região de referência                                                                                                 </t>
    </r>
  </si>
  <si>
    <r>
      <rPr>
        <b/>
        <sz val="11"/>
        <rFont val="Calibri"/>
        <family val="2"/>
        <scheme val="minor"/>
      </rPr>
      <t>                                           Barreiras/BA (módulo 1.200 ha)                                              </t>
    </r>
  </si>
  <si>
    <t>CUTN7002</t>
  </si>
  <si>
    <t>Uva Irrigada (Petrolina-PE)  - Custo de Produção (R$/ha) - 2019</t>
  </si>
  <si>
    <t>Espaçamento:</t>
  </si>
  <si>
    <t>3,5 x 2,5 m</t>
  </si>
  <si>
    <t>Densidade (pés/ha):</t>
  </si>
  <si>
    <t>Ano 2 =</t>
  </si>
  <si>
    <t>Solo Referencial:</t>
  </si>
  <si>
    <t>Latossolo</t>
  </si>
  <si>
    <t>Ano 3 ao 15 =</t>
  </si>
  <si>
    <t>Módulo Ideal:</t>
  </si>
  <si>
    <t>4 ha</t>
  </si>
  <si>
    <t>FASE IMPROD. FORMAÇÃO</t>
  </si>
  <si>
    <t>PRODUÇÃO CRESCENTE</t>
  </si>
  <si>
    <t>PRODUÇÃO ESTÁVEL   </t>
  </si>
  <si>
    <t>ANO 3 ao 15</t>
  </si>
  <si>
    <t>A - OPERAÇÕES MECANIZADAS</t>
  </si>
  <si>
    <t>Gradagem Pesada(2x)</t>
  </si>
  <si>
    <t>HM TP 4x4 100cv + Grade aradora 12x26</t>
  </si>
  <si>
    <t>HM TP 4x4 95cv + Grade Niveladora 28x20</t>
  </si>
  <si>
    <t>Construção de Niveladas</t>
  </si>
  <si>
    <t>HM TP 4x4 95cv + Terraceador de Arrasto 14 discos</t>
  </si>
  <si>
    <t>Motoniveladora 180cv</t>
  </si>
  <si>
    <t>Sulc. da Linha de Plantio</t>
  </si>
  <si>
    <t>HM TP 4x4 65cv + Sulcador 1 linha</t>
  </si>
  <si>
    <t>Distr. Fert. Sulcos</t>
  </si>
  <si>
    <t>HM TP 4x4 65cv + Carreta madeira (4000kg)</t>
  </si>
  <si>
    <t>Construção da Parreira</t>
  </si>
  <si>
    <t>Pulverização(30, 60, 60x)</t>
  </si>
  <si>
    <r>
      <rPr>
        <sz val="11"/>
        <rFont val="Calibri"/>
        <family val="2"/>
        <scheme val="minor"/>
      </rPr>
      <t>HM TP 4x4 65cv + Pulverizador
Turboatomizador 400l</t>
    </r>
  </si>
  <si>
    <t>Roçagem(5x)</t>
  </si>
  <si>
    <t>HM TP 4x4 65cv + Roçadeira central</t>
  </si>
  <si>
    <t>Adubação (2x)</t>
  </si>
  <si>
    <t>HM TP 4x4 65cv + Grade Niveladora 20x20</t>
  </si>
  <si>
    <t>HM TP 4x4 65cv + Plaina Traseira 2,3m</t>
  </si>
  <si>
    <t>A4. Irrigação(*)</t>
  </si>
  <si>
    <t>Colheita(9, 18x)</t>
  </si>
  <si>
    <t>B - OPERAÇÕES MANUAIS</t>
  </si>
  <si>
    <t>Alinhamento</t>
  </si>
  <si>
    <t>Abertura de Cova</t>
  </si>
  <si>
    <t>Dist. Fert. Cova</t>
  </si>
  <si>
    <t>Mist. Fert, Fech. Cova</t>
  </si>
  <si>
    <t>Enxertia</t>
  </si>
  <si>
    <t>Amarrio ao Tutor(7x)</t>
  </si>
  <si>
    <t>Capina Manual (5x)</t>
  </si>
  <si>
    <t>Adubação(2x)</t>
  </si>
  <si>
    <t>Alc.Desnet Desbrota(3,8,8x)</t>
  </si>
  <si>
    <t>Poda (2x)</t>
  </si>
  <si>
    <t>Alc. Ramos Podados (2x)</t>
  </si>
  <si>
    <t>Aplicação hormônio vegetal (2x)</t>
  </si>
  <si>
    <t>Alc. Ramos Verdes (16x)</t>
  </si>
  <si>
    <t>Pinicado (desbaste manual) (2x)</t>
  </si>
  <si>
    <t>Raleio com Tesoura(2x)</t>
  </si>
  <si>
    <t>Desemb. dos Cachos(2x)</t>
  </si>
  <si>
    <t>Aplic. Ácido Giberélico(2x)</t>
  </si>
  <si>
    <t>Limpeza dos Cachos(2x)</t>
  </si>
  <si>
    <t>Combate à Formiga(12x)</t>
  </si>
  <si>
    <t>B4. Irrigação</t>
  </si>
  <si>
    <t>B5. Colheita (***)</t>
  </si>
  <si>
    <t>Colheita (9,18x)</t>
  </si>
  <si>
    <t>Transporte Interno (9,18x)</t>
  </si>
  <si>
    <t>Subtotal  B</t>
  </si>
  <si>
    <t>C1. Fertilizantes (**)</t>
  </si>
  <si>
    <t>Superfostato Simples</t>
  </si>
  <si>
    <t>Torta de Mamona</t>
  </si>
  <si>
    <t>Micronutrientes</t>
  </si>
  <si>
    <t>Termofosfato</t>
  </si>
  <si>
    <t>Sulfato de Cobre</t>
  </si>
  <si>
    <t>Cal Virgem</t>
  </si>
  <si>
    <t>Hormônio Vegetal</t>
  </si>
  <si>
    <t>Ácido Giberélico</t>
  </si>
  <si>
    <t>R$/g</t>
  </si>
  <si>
    <t>C3. Mudas</t>
  </si>
  <si>
    <t>Muda enxertada</t>
  </si>
  <si>
    <t>C4. Outros</t>
  </si>
  <si>
    <t>Mourões Trat. (2,5m x 20cm diam.)</t>
  </si>
  <si>
    <t>Mourões Trat. (2,5m x 15cm diam.)</t>
  </si>
  <si>
    <t>Estacas (2,2 m x 7cm diam.)</t>
  </si>
  <si>
    <t>Arame nº 06</t>
  </si>
  <si>
    <t>Arame nº 12</t>
  </si>
  <si>
    <t>Arame nº 14</t>
  </si>
  <si>
    <t>Arame nº 18</t>
  </si>
  <si>
    <t>Grampeador</t>
  </si>
  <si>
    <t>Tesoura de Poda</t>
  </si>
  <si>
    <t>Tesoura de Desbaste</t>
  </si>
  <si>
    <t>Fita para Alceador</t>
  </si>
  <si>
    <t>R$/pacote</t>
  </si>
  <si>
    <t>Grampo para Alceador</t>
  </si>
  <si>
    <t>R$/caixa</t>
  </si>
  <si>
    <t>M. O. Administrativa</t>
  </si>
  <si>
    <t>Custo Total (R$/ha/ano)                 </t>
  </si>
  <si>
    <t>                                                                   </t>
  </si>
  <si>
    <t>Custo por ton produzida na vida útil                                                                       </t>
  </si>
  <si>
    <t>Receita  (R$/ha/ano)</t>
  </si>
  <si>
    <t>Resultado acumulado  (R$/ha)</t>
  </si>
  <si>
    <t>Região Referencial</t>
  </si>
  <si>
    <t>Petrolina - PE  (***)</t>
  </si>
  <si>
    <t>HM=Hora Máquina</t>
  </si>
  <si>
    <t>V.U.=Valor Unitário</t>
  </si>
  <si>
    <t>Tp=Trator de pneus</t>
  </si>
  <si>
    <t>Te=Trator de esteiras</t>
  </si>
  <si>
    <t>(*) Irrigação: Nos anos 2, 3 ao 20, os custos incluem as despesas com depreciação, manutenção e energia elétrica.</t>
  </si>
  <si>
    <t>(***) Ocorrem duas safras durante o ano no Vale do são Francisco - 1ª safra entre fev. e jul. representa 35% da produção e 2ª safra de ago. a jan. representa 65% da produção total.</t>
  </si>
  <si>
    <t>Investimentos - On Farm:</t>
  </si>
  <si>
    <t>Cotação Dólar - Agosto/2019</t>
  </si>
  <si>
    <t>Convencional</t>
  </si>
  <si>
    <t>Custo de Cultivo (R$ / ha):</t>
  </si>
  <si>
    <t>N/A</t>
  </si>
  <si>
    <t>Implantação - Sistema de Irrigação:</t>
  </si>
  <si>
    <t>Custo referente ao replantio</t>
  </si>
  <si>
    <t>Período de replantio</t>
  </si>
  <si>
    <t>Percentual de replantio por ano</t>
  </si>
  <si>
    <t>Ano 4 ao 5 =</t>
  </si>
  <si>
    <t>Ano 1 =</t>
  </si>
  <si>
    <t>Preço de Venda (R$/ t):</t>
  </si>
  <si>
    <t>Preço de Venda (R$ / @):</t>
  </si>
  <si>
    <t>Produtividade (t/ha/safra)</t>
  </si>
  <si>
    <t>Produtividade Média (t/ha)</t>
  </si>
  <si>
    <t>Implantação - Sistema de Irrigação (R$/ha)</t>
  </si>
  <si>
    <t>Produtividade Média (sc/ha)</t>
  </si>
  <si>
    <t>Preço de Venda (R$/ sc):</t>
  </si>
  <si>
    <t>Produtividade Beneficiada (@/ha):</t>
  </si>
  <si>
    <t>Produtividade (@/ha):</t>
  </si>
  <si>
    <t>3 anos</t>
  </si>
  <si>
    <t>Intevalo de Replantio</t>
  </si>
  <si>
    <t>3 Anos</t>
  </si>
  <si>
    <t>5 anos</t>
  </si>
  <si>
    <t>20 anos</t>
  </si>
  <si>
    <t>15 anos</t>
  </si>
  <si>
    <t>Custo</t>
  </si>
  <si>
    <t>Área de replantio</t>
  </si>
  <si>
    <t>(%/ano)</t>
  </si>
  <si>
    <t xml:space="preserve">Duração </t>
  </si>
  <si>
    <t>(ano)</t>
  </si>
  <si>
    <t>Sistema de Irrigação</t>
  </si>
  <si>
    <t>Und.</t>
  </si>
  <si>
    <t>NAANDANJAIN</t>
  </si>
  <si>
    <t>Cotação Dólar</t>
  </si>
  <si>
    <t>Data Base</t>
  </si>
  <si>
    <t>Pivot - Central</t>
  </si>
  <si>
    <t>Agrolink</t>
  </si>
  <si>
    <t>Link</t>
  </si>
  <si>
    <t>https://www.agrolink.com.br/noticias/irrigacao--como-escolher-o-melhor-sistema-para-irrigar-lavouras-de-graos-_405055.html#:~:text=O%20investimento%20pode%20variar%20entre,e%20a%20topografia%20da%20regi%C3%A3o.&amp;text=Uma%20das%20vantagens%20da%20tecnologia,de%20m%C3%A3o%2Dde%2Dobra</t>
  </si>
  <si>
    <t>índice</t>
  </si>
  <si>
    <t>V.U.M</t>
  </si>
  <si>
    <t>Gotejamento / Microaspersão</t>
  </si>
  <si>
    <t>Sistema de Irrigação - Pivot Central</t>
  </si>
  <si>
    <r>
      <rPr>
        <sz val="11"/>
        <rFont val="Calibri"/>
        <family val="2"/>
        <scheme val="minor"/>
      </rPr>
      <t>Leandro Lance</t>
    </r>
    <r>
      <rPr>
        <sz val="11"/>
        <color theme="10"/>
        <rFont val="Calibri"/>
        <family val="2"/>
        <scheme val="minor"/>
      </rPr>
      <t xml:space="preserve">
leandro@naandanjain.com.br</t>
    </r>
  </si>
  <si>
    <t>RIVULIS IRRIGAÇÃO</t>
  </si>
  <si>
    <r>
      <rPr>
        <sz val="11"/>
        <rFont val="Calibri"/>
        <family val="2"/>
        <scheme val="minor"/>
      </rPr>
      <t>Francisco Fontes</t>
    </r>
    <r>
      <rPr>
        <u/>
        <sz val="11"/>
        <color theme="10"/>
        <rFont val="Calibri"/>
        <family val="2"/>
        <scheme val="minor"/>
      </rPr>
      <t xml:space="preserve">
francisco.fontes@rivulis.com</t>
    </r>
  </si>
  <si>
    <t>Garantia de Execução</t>
  </si>
  <si>
    <t>Seguro de Danos Materiais</t>
  </si>
  <si>
    <t>Seguro de Responsabilidade Civil</t>
  </si>
  <si>
    <t>Despesas Ambientais</t>
  </si>
  <si>
    <t>Margem de EBIT</t>
  </si>
  <si>
    <t>CRONOGRAMA FÍSICO FINANCEIRO DO PROJETO PÚBLICO DE IRRIGAÇÃO BAIXIO DE IRECÊ - ETAPAS 3 A 5</t>
  </si>
  <si>
    <t>2.3. CS-4</t>
  </si>
  <si>
    <t>3.1  Trecho 1 (Tomadas de água no CP-0)</t>
  </si>
  <si>
    <t>3.2  Trecho 2 (ER-06 e Tomadas de água no CP-0 e ER-06)</t>
  </si>
  <si>
    <t>3.3  Trecho 6  CS-4 (Tomadas de água no CP-0)</t>
  </si>
  <si>
    <t>6.2. CP0  Km 53,96 ao 64,30 (10,24 Km)</t>
  </si>
  <si>
    <t>7.3. Trecho 6: CS-4</t>
  </si>
  <si>
    <t>Sistema de condução, distribuição, drenagem, suprimento de energia e viário - Projeto Básico das etapas 3 a 9</t>
  </si>
  <si>
    <t>CUSTOS AMBIENTAIS - PROJETO PÚBLICO BAIXIO DE IRECÊ</t>
  </si>
  <si>
    <t>CRONOGRAMA DE IMPLANTAÇÃO DA INFRAESTRUTURA DE USO COMUM - PROJETO PÚBLICO DE IRRIGAÇÃO BAIXIO DE IRECÊ - ETAPAS 3 A 5</t>
  </si>
  <si>
    <t>VALORES (R$)</t>
  </si>
  <si>
    <t>Danos Materiais</t>
  </si>
  <si>
    <t>Responsabilidade Civil</t>
  </si>
  <si>
    <t>CAPEX Total</t>
  </si>
  <si>
    <t>Seguro/Garantia</t>
  </si>
  <si>
    <t>Prêmio (%)</t>
  </si>
  <si>
    <t>Base Cálculo</t>
  </si>
  <si>
    <t>Soja (intercalada com Milho)</t>
  </si>
  <si>
    <t>Milho (intercalada com Soja)</t>
  </si>
  <si>
    <t>Safras anuais</t>
  </si>
  <si>
    <t>Área de Replantio (ha)</t>
  </si>
  <si>
    <t>Área com Produção (ha)</t>
  </si>
  <si>
    <t>Produtividade (t/ha)</t>
  </si>
  <si>
    <t>Produção (t/ano)</t>
  </si>
  <si>
    <t>PRODUÇÃO - FRUTICULTURA</t>
  </si>
  <si>
    <t>Preço Venda FOB</t>
  </si>
  <si>
    <t>Receita</t>
  </si>
  <si>
    <t>Cultura</t>
  </si>
  <si>
    <t>Custo Fornecimento Água</t>
  </si>
  <si>
    <t>R$/m3</t>
  </si>
  <si>
    <t>Tributação</t>
  </si>
  <si>
    <t>Alíquotas (%)</t>
  </si>
  <si>
    <t>Financiamento</t>
  </si>
  <si>
    <t>Outorga Mínima da Terra</t>
  </si>
  <si>
    <t>CAPEX On Farm</t>
  </si>
  <si>
    <t>CAPEX Infraestrutura Uso Comum</t>
  </si>
  <si>
    <t>Preço médio 2019</t>
  </si>
  <si>
    <t>CAPEX IUC</t>
  </si>
  <si>
    <t>OPEX</t>
  </si>
  <si>
    <t>0. Finalização de obras Etapas 1 e 2</t>
  </si>
  <si>
    <t>0.1 Finalização de obras Etapas 1 e 2</t>
  </si>
  <si>
    <t>Início de Produção</t>
  </si>
  <si>
    <t>Tempo para Produção (anos)</t>
  </si>
  <si>
    <t>Produtividade 1o Ano (T/ha)</t>
  </si>
  <si>
    <t>Custo de Cultivo (R$ / sc):</t>
  </si>
  <si>
    <r>
      <t xml:space="preserve">Para os cáculos foram considerados os dados apresentados no estudo de atratividade realizado pela CODEVASF em agosto/2014.  Foi subtraído do total de investimento, R$ 202.629,60, os valores apresentados nos itens 1 e 5 (não relacionados ao CAPEX on farm), posteriormente, dividiu-se o valor encontrado pela área total de irrigação, 12.201, encontrando assim o valor de 9.169,40 R$/ha. Posteriormente o valor foi atualizado para data base de agosto/2019, através do índice do IGP DI de 1,349361, para investimentos </t>
    </r>
    <r>
      <rPr>
        <b/>
        <i/>
        <sz val="11"/>
        <color theme="1"/>
        <rFont val="Calibri"/>
        <family val="2"/>
        <scheme val="minor"/>
      </rPr>
      <t>"On-farm"</t>
    </r>
  </si>
  <si>
    <t>Foi considerado a estimativa de investimento disponível no sítio da Agrolink.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</si>
</sst>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7" formatCode="&quot;R$&quot;\ #,##0.00;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%"/>
    <numFmt numFmtId="165" formatCode="#,##0.0000"/>
    <numFmt numFmtId="167" formatCode="#,##0.00\ &quot;ha&quot;"/>
    <numFmt numFmtId="168" formatCode="0.0000"/>
    <numFmt numFmtId="169" formatCode="_-* #,##0_-;\-* #,##0_-;_-* &quot;-&quot;??_-;_-@_-"/>
    <numFmt numFmtId="170" formatCode="#,##0\ &quot;ha&quot;"/>
    <numFmt numFmtId="171" formatCode="_-* #,##0.00000_-;\-* #,##0.00000_-;_-* &quot;-&quot;??_-;_-@_-"/>
    <numFmt numFmtId="172" formatCode="0.0%"/>
    <numFmt numFmtId="173" formatCode="#,##0.00_ ;\-#,##0.00\ "/>
    <numFmt numFmtId="174" formatCode="0\ &quot;t/ha&quot;"/>
    <numFmt numFmtId="175" formatCode="General\ &quot;t/ha&quot;"/>
    <numFmt numFmtId="176" formatCode="&quot;R$&quot;\ #,##0.00\ &quot;/ tonelada FOB&quot;"/>
    <numFmt numFmtId="177" formatCode="#,##0\ &quot;kg/ha&quot;"/>
    <numFmt numFmtId="178" formatCode="&quot;*&quot;\ 0\ &quot;safras por ano&quot;"/>
    <numFmt numFmtId="179" formatCode="&quot;R$&quot;\ #,##0\ &quot;/tonelada FOB&quot;"/>
    <numFmt numFmtId="180" formatCode="0\ &quot;@/ha&quot;"/>
    <numFmt numFmtId="181" formatCode="&quot;R$&quot;\ #,##0.00"/>
    <numFmt numFmtId="182" formatCode="&quot;R$&quot;\ #,##0.000"/>
    <numFmt numFmtId="183" formatCode="&quot;R$&quot;\ #,##0.00\ &quot;toneladas FOB&quot;"/>
    <numFmt numFmtId="184" formatCode="_-&quot;R$&quot;\ * #,##0_-;\-&quot;R$&quot;\ * #,##0_-;_-&quot;R$&quot;\ * &quot;-&quot;??_-;_-@_-"/>
    <numFmt numFmtId="185" formatCode="#,##0.00\ &quot;R$/sc&quot;"/>
    <numFmt numFmtId="186" formatCode="#,##0.00\ &quot;R$/@&quot;"/>
    <numFmt numFmtId="187" formatCode="#,##0.00\ &quot;R$/t&quot;"/>
    <numFmt numFmtId="188" formatCode="#,##0.00\ &quot;t/ha&quot;"/>
    <numFmt numFmtId="189" formatCode="#,##0.00\ &quot;sc/ha&quot;"/>
    <numFmt numFmtId="190" formatCode="#,##0.00\ &quot;@/ha&quot;"/>
    <numFmt numFmtId="191" formatCode="#,##0_ ;\-#,##0\ "/>
    <numFmt numFmtId="192" formatCode="&quot;ANO&quot;\ 0"/>
  </numFmts>
  <fonts count="5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sz val="6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20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0"/>
      <color rgb="FF000000"/>
      <name val="Times New Roman"/>
      <family val="1"/>
    </font>
    <font>
      <sz val="6"/>
      <name val="Calibri"/>
      <family val="2"/>
    </font>
    <font>
      <b/>
      <sz val="7"/>
      <name val="Calibri"/>
      <family val="2"/>
    </font>
    <font>
      <i/>
      <sz val="7"/>
      <name val="Calibri"/>
      <family val="2"/>
    </font>
    <font>
      <vertAlign val="superscript"/>
      <sz val="8"/>
      <color rgb="FFB3B2B2"/>
      <name val="Arial"/>
      <family val="2"/>
    </font>
    <font>
      <sz val="7"/>
      <color rgb="FFB3B2B2"/>
      <name val="Arial"/>
      <family val="2"/>
    </font>
    <font>
      <sz val="7"/>
      <color rgb="FFB3B2B2"/>
      <name val="Arial Narrow"/>
      <family val="2"/>
    </font>
    <font>
      <sz val="10"/>
      <color theme="0" tint="-0.499984740745262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name val="Calibri"/>
      <family val="2"/>
    </font>
    <font>
      <sz val="12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0" tint="-0.1499984740745262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B3"/>
        <bgColor indexed="64"/>
      </patternFill>
    </fill>
    <fill>
      <patternFill patternType="solid">
        <fgColor theme="0" tint="-4.9989318521683403E-2"/>
        <bgColor indexed="64"/>
      </patternFill>
    </fill>
  </fills>
  <borders count="10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auto="1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thin">
        <color theme="0" tint="-0.499984740745262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rgb="FF000000"/>
      </right>
      <top style="hair">
        <color auto="1"/>
      </top>
      <bottom style="hair">
        <color auto="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45" fillId="0" borderId="0" applyNumberFormat="0" applyFill="0" applyBorder="0" applyAlignment="0" applyProtection="0"/>
  </cellStyleXfs>
  <cellXfs count="773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Alignment="1">
      <alignment vertical="center"/>
    </xf>
    <xf numFmtId="4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3" fillId="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4" fontId="3" fillId="5" borderId="0" xfId="0" applyNumberFormat="1" applyFont="1" applyFill="1" applyAlignment="1">
      <alignment horizontal="center" vertical="center"/>
    </xf>
    <xf numFmtId="44" fontId="3" fillId="5" borderId="0" xfId="0" applyNumberFormat="1" applyFont="1" applyFill="1" applyAlignment="1">
      <alignment horizontal="center" vertical="center"/>
    </xf>
    <xf numFmtId="4" fontId="0" fillId="0" borderId="0" xfId="0" applyNumberFormat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44" fontId="1" fillId="2" borderId="0" xfId="0" applyNumberFormat="1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4" fontId="3" fillId="4" borderId="0" xfId="0" applyNumberFormat="1" applyFont="1" applyFill="1" applyAlignment="1">
      <alignment horizontal="center" vertical="center"/>
    </xf>
    <xf numFmtId="44" fontId="3" fillId="4" borderId="0" xfId="0" applyNumberFormat="1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9" fontId="0" fillId="0" borderId="0" xfId="1" applyFont="1" applyAlignment="1">
      <alignment horizontal="center" vertical="center"/>
    </xf>
    <xf numFmtId="9" fontId="3" fillId="5" borderId="0" xfId="1" applyFont="1" applyFill="1" applyAlignment="1">
      <alignment horizontal="center" vertical="center"/>
    </xf>
    <xf numFmtId="9" fontId="3" fillId="4" borderId="0" xfId="1" applyFont="1" applyFill="1" applyAlignment="1">
      <alignment horizontal="center" vertical="center"/>
    </xf>
    <xf numFmtId="9" fontId="1" fillId="2" borderId="0" xfId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4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NumberFormat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67" fontId="0" fillId="0" borderId="0" xfId="0" applyNumberFormat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28" xfId="0" applyBorder="1" applyAlignment="1">
      <alignment vertical="center"/>
    </xf>
    <xf numFmtId="10" fontId="0" fillId="0" borderId="29" xfId="0" applyNumberFormat="1" applyBorder="1" applyAlignment="1">
      <alignment horizontal="center" vertical="center"/>
    </xf>
    <xf numFmtId="10" fontId="0" fillId="0" borderId="29" xfId="1" applyNumberFormat="1" applyFont="1" applyBorder="1" applyAlignment="1">
      <alignment horizontal="center" vertical="center"/>
    </xf>
    <xf numFmtId="10" fontId="0" fillId="0" borderId="30" xfId="1" applyNumberFormat="1" applyFont="1" applyBorder="1" applyAlignment="1">
      <alignment horizontal="center" vertical="center"/>
    </xf>
    <xf numFmtId="0" fontId="0" fillId="0" borderId="31" xfId="0" applyBorder="1" applyAlignment="1">
      <alignment vertical="center"/>
    </xf>
    <xf numFmtId="167" fontId="0" fillId="0" borderId="32" xfId="0" applyNumberFormat="1" applyBorder="1" applyAlignment="1">
      <alignment horizontal="center" vertical="center"/>
    </xf>
    <xf numFmtId="167" fontId="0" fillId="0" borderId="33" xfId="0" applyNumberFormat="1" applyBorder="1" applyAlignment="1">
      <alignment horizontal="center" vertical="center"/>
    </xf>
    <xf numFmtId="167" fontId="0" fillId="0" borderId="34" xfId="0" applyNumberFormat="1" applyBorder="1" applyAlignment="1">
      <alignment horizontal="center" vertical="center"/>
    </xf>
    <xf numFmtId="167" fontId="0" fillId="0" borderId="35" xfId="0" applyNumberForma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167" fontId="0" fillId="0" borderId="38" xfId="0" applyNumberFormat="1" applyBorder="1" applyAlignment="1">
      <alignment horizontal="center" vertical="center"/>
    </xf>
    <xf numFmtId="167" fontId="0" fillId="0" borderId="39" xfId="0" applyNumberFormat="1" applyBorder="1" applyAlignment="1">
      <alignment horizontal="center" vertical="center"/>
    </xf>
    <xf numFmtId="10" fontId="0" fillId="0" borderId="0" xfId="1" applyNumberFormat="1" applyFont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44" fontId="0" fillId="0" borderId="4" xfId="0" applyNumberFormat="1" applyBorder="1" applyAlignment="1">
      <alignment vertical="center"/>
    </xf>
    <xf numFmtId="44" fontId="0" fillId="7" borderId="0" xfId="0" applyNumberForma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40" xfId="0" applyFon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3" fillId="8" borderId="45" xfId="0" applyFont="1" applyFill="1" applyBorder="1" applyAlignment="1">
      <alignment vertical="center"/>
    </xf>
    <xf numFmtId="0" fontId="3" fillId="8" borderId="19" xfId="0" applyFont="1" applyFill="1" applyBorder="1" applyAlignment="1">
      <alignment horizontal="center" vertical="center"/>
    </xf>
    <xf numFmtId="0" fontId="12" fillId="0" borderId="0" xfId="0" applyFont="1" applyAlignment="1"/>
    <xf numFmtId="0" fontId="0" fillId="0" borderId="0" xfId="0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48" xfId="0" applyFill="1" applyBorder="1" applyAlignment="1">
      <alignment vertical="center"/>
    </xf>
    <xf numFmtId="0" fontId="3" fillId="8" borderId="49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Alignment="1"/>
    <xf numFmtId="0" fontId="0" fillId="0" borderId="0" xfId="0" applyFont="1" applyBorder="1" applyAlignment="1">
      <alignment vertical="center" wrapText="1"/>
    </xf>
    <xf numFmtId="0" fontId="0" fillId="0" borderId="48" xfId="0" applyFont="1" applyBorder="1" applyAlignment="1">
      <alignment vertical="center" wrapText="1"/>
    </xf>
    <xf numFmtId="0" fontId="1" fillId="0" borderId="14" xfId="0" applyFont="1" applyBorder="1" applyAlignment="1">
      <alignment horizontal="center"/>
    </xf>
    <xf numFmtId="169" fontId="0" fillId="0" borderId="0" xfId="2" applyNumberFormat="1" applyFont="1" applyAlignment="1">
      <alignment horizontal="center"/>
    </xf>
    <xf numFmtId="169" fontId="0" fillId="0" borderId="0" xfId="0" applyNumberFormat="1" applyFont="1"/>
    <xf numFmtId="169" fontId="1" fillId="0" borderId="14" xfId="0" applyNumberFormat="1" applyFont="1" applyBorder="1"/>
    <xf numFmtId="0" fontId="0" fillId="0" borderId="0" xfId="0" applyFont="1" applyBorder="1"/>
    <xf numFmtId="0" fontId="0" fillId="0" borderId="48" xfId="0" applyFont="1" applyBorder="1" applyAlignment="1">
      <alignment vertical="center"/>
    </xf>
    <xf numFmtId="0" fontId="0" fillId="0" borderId="48" xfId="0" applyFont="1" applyBorder="1"/>
    <xf numFmtId="0" fontId="0" fillId="0" borderId="48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0" xfId="0" applyNumberFormat="1" applyAlignment="1">
      <alignment horizontal="right" vertical="center"/>
    </xf>
    <xf numFmtId="44" fontId="0" fillId="0" borderId="5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57" xfId="0" applyBorder="1" applyAlignment="1">
      <alignment vertical="center"/>
    </xf>
    <xf numFmtId="0" fontId="0" fillId="6" borderId="4" xfId="0" applyFill="1" applyBorder="1" applyAlignment="1">
      <alignment vertical="center"/>
    </xf>
    <xf numFmtId="0" fontId="0" fillId="6" borderId="5" xfId="0" applyFill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13" xfId="0" applyBorder="1" applyAlignment="1">
      <alignment vertical="center"/>
    </xf>
    <xf numFmtId="4" fontId="0" fillId="0" borderId="5" xfId="0" applyNumberFormat="1" applyBorder="1" applyAlignment="1">
      <alignment vertical="center"/>
    </xf>
    <xf numFmtId="0" fontId="3" fillId="8" borderId="46" xfId="0" applyFont="1" applyFill="1" applyBorder="1" applyAlignment="1">
      <alignment horizontal="center" vertical="center"/>
    </xf>
    <xf numFmtId="0" fontId="3" fillId="8" borderId="47" xfId="0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41" xfId="0" applyFill="1" applyBorder="1" applyAlignment="1">
      <alignment vertical="center"/>
    </xf>
    <xf numFmtId="0" fontId="1" fillId="0" borderId="0" xfId="0" applyFont="1" applyAlignment="1">
      <alignment vertical="center"/>
    </xf>
    <xf numFmtId="44" fontId="1" fillId="2" borderId="17" xfId="0" applyNumberFormat="1" applyFont="1" applyFill="1" applyBorder="1" applyAlignment="1">
      <alignment horizontal="center" vertical="center"/>
    </xf>
    <xf numFmtId="44" fontId="1" fillId="2" borderId="44" xfId="0" applyNumberFormat="1" applyFont="1" applyFill="1" applyBorder="1" applyAlignment="1">
      <alignment horizontal="center" vertical="center"/>
    </xf>
    <xf numFmtId="10" fontId="1" fillId="2" borderId="10" xfId="1" applyNumberFormat="1" applyFont="1" applyFill="1" applyBorder="1" applyAlignment="1">
      <alignment horizontal="center" vertical="center"/>
    </xf>
    <xf numFmtId="10" fontId="1" fillId="2" borderId="55" xfId="1" applyNumberFormat="1" applyFont="1" applyFill="1" applyBorder="1" applyAlignment="1">
      <alignment horizontal="center" vertical="center"/>
    </xf>
    <xf numFmtId="10" fontId="1" fillId="2" borderId="21" xfId="1" applyNumberFormat="1" applyFont="1" applyFill="1" applyBorder="1" applyAlignment="1">
      <alignment vertical="center"/>
    </xf>
    <xf numFmtId="10" fontId="1" fillId="2" borderId="21" xfId="1" applyNumberFormat="1" applyFont="1" applyFill="1" applyBorder="1" applyAlignment="1">
      <alignment horizontal="center" vertical="center"/>
    </xf>
    <xf numFmtId="10" fontId="1" fillId="2" borderId="24" xfId="1" applyNumberFormat="1" applyFont="1" applyFill="1" applyBorder="1" applyAlignment="1">
      <alignment horizontal="center" vertical="center"/>
    </xf>
    <xf numFmtId="10" fontId="1" fillId="2" borderId="53" xfId="1" applyNumberFormat="1" applyFont="1" applyFill="1" applyBorder="1" applyAlignment="1">
      <alignment vertical="center"/>
    </xf>
    <xf numFmtId="10" fontId="1" fillId="2" borderId="40" xfId="1" applyNumberFormat="1" applyFont="1" applyFill="1" applyBorder="1" applyAlignment="1">
      <alignment vertical="center"/>
    </xf>
    <xf numFmtId="10" fontId="1" fillId="2" borderId="60" xfId="1" applyNumberFormat="1" applyFont="1" applyFill="1" applyBorder="1" applyAlignment="1">
      <alignment vertical="center"/>
    </xf>
    <xf numFmtId="44" fontId="1" fillId="2" borderId="3" xfId="0" applyNumberFormat="1" applyFont="1" applyFill="1" applyBorder="1" applyAlignment="1">
      <alignment vertical="center"/>
    </xf>
    <xf numFmtId="10" fontId="1" fillId="2" borderId="10" xfId="1" applyNumberFormat="1" applyFont="1" applyFill="1" applyBorder="1" applyAlignment="1">
      <alignment vertical="center"/>
    </xf>
    <xf numFmtId="44" fontId="0" fillId="0" borderId="4" xfId="0" applyNumberFormat="1" applyBorder="1" applyAlignment="1">
      <alignment horizontal="center" vertical="center"/>
    </xf>
    <xf numFmtId="0" fontId="3" fillId="8" borderId="18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vertical="center"/>
    </xf>
    <xf numFmtId="0" fontId="0" fillId="2" borderId="46" xfId="0" applyFill="1" applyBorder="1" applyAlignment="1">
      <alignment vertical="center"/>
    </xf>
    <xf numFmtId="0" fontId="0" fillId="2" borderId="47" xfId="0" applyFill="1" applyBorder="1" applyAlignment="1">
      <alignment vertical="center"/>
    </xf>
    <xf numFmtId="44" fontId="1" fillId="2" borderId="42" xfId="0" applyNumberFormat="1" applyFont="1" applyFill="1" applyBorder="1" applyAlignment="1">
      <alignment vertical="center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1" fillId="2" borderId="22" xfId="0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horizontal="center" vertical="center"/>
    </xf>
    <xf numFmtId="44" fontId="1" fillId="2" borderId="41" xfId="0" applyNumberFormat="1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vertical="center"/>
    </xf>
    <xf numFmtId="170" fontId="1" fillId="2" borderId="58" xfId="0" applyNumberFormat="1" applyFont="1" applyFill="1" applyBorder="1" applyAlignment="1">
      <alignment horizontal="center" vertical="center"/>
    </xf>
    <xf numFmtId="170" fontId="1" fillId="2" borderId="59" xfId="0" applyNumberFormat="1" applyFont="1" applyFill="1" applyBorder="1" applyAlignment="1">
      <alignment horizontal="center" vertical="center"/>
    </xf>
    <xf numFmtId="10" fontId="1" fillId="2" borderId="8" xfId="1" applyNumberFormat="1" applyFont="1" applyFill="1" applyBorder="1" applyAlignment="1">
      <alignment horizontal="center" vertical="center"/>
    </xf>
    <xf numFmtId="10" fontId="1" fillId="2" borderId="57" xfId="1" applyNumberFormat="1" applyFont="1" applyFill="1" applyBorder="1" applyAlignment="1">
      <alignment horizontal="center" vertical="center"/>
    </xf>
    <xf numFmtId="170" fontId="0" fillId="0" borderId="8" xfId="0" applyNumberFormat="1" applyBorder="1" applyAlignment="1">
      <alignment vertical="center"/>
    </xf>
    <xf numFmtId="170" fontId="0" fillId="0" borderId="5" xfId="0" applyNumberFormat="1" applyBorder="1" applyAlignment="1">
      <alignment horizontal="center" vertical="center"/>
    </xf>
    <xf numFmtId="170" fontId="0" fillId="0" borderId="14" xfId="0" applyNumberFormat="1" applyBorder="1" applyAlignment="1">
      <alignment vertical="center"/>
    </xf>
    <xf numFmtId="170" fontId="0" fillId="2" borderId="3" xfId="0" applyNumberFormat="1" applyFill="1" applyBorder="1" applyAlignment="1">
      <alignment vertical="center"/>
    </xf>
    <xf numFmtId="170" fontId="0" fillId="0" borderId="57" xfId="0" applyNumberFormat="1" applyBorder="1" applyAlignment="1">
      <alignment vertical="center"/>
    </xf>
    <xf numFmtId="170" fontId="0" fillId="0" borderId="13" xfId="0" applyNumberFormat="1" applyBorder="1" applyAlignment="1">
      <alignment vertical="center"/>
    </xf>
    <xf numFmtId="170" fontId="0" fillId="0" borderId="56" xfId="0" applyNumberFormat="1" applyBorder="1" applyAlignment="1">
      <alignment vertical="center"/>
    </xf>
    <xf numFmtId="170" fontId="1" fillId="2" borderId="21" xfId="0" applyNumberFormat="1" applyFont="1" applyFill="1" applyBorder="1" applyAlignment="1">
      <alignment vertical="center"/>
    </xf>
    <xf numFmtId="10" fontId="1" fillId="0" borderId="0" xfId="1" applyNumberFormat="1" applyFont="1" applyFill="1" applyBorder="1" applyAlignment="1">
      <alignment horizontal="center" vertical="center"/>
    </xf>
    <xf numFmtId="170" fontId="0" fillId="0" borderId="0" xfId="0" applyNumberForma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left" indent="1"/>
    </xf>
    <xf numFmtId="43" fontId="14" fillId="0" borderId="0" xfId="2" applyFont="1"/>
    <xf numFmtId="43" fontId="14" fillId="0" borderId="0" xfId="0" applyNumberFormat="1" applyFont="1"/>
    <xf numFmtId="10" fontId="14" fillId="0" borderId="0" xfId="1" applyNumberFormat="1" applyFont="1"/>
    <xf numFmtId="0" fontId="16" fillId="0" borderId="0" xfId="0" applyFont="1"/>
    <xf numFmtId="9" fontId="16" fillId="0" borderId="0" xfId="1" applyFont="1"/>
    <xf numFmtId="0" fontId="15" fillId="0" borderId="14" xfId="0" applyFont="1" applyBorder="1"/>
    <xf numFmtId="0" fontId="15" fillId="0" borderId="14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/>
    <xf numFmtId="0" fontId="14" fillId="0" borderId="0" xfId="0" applyFont="1" applyBorder="1" applyAlignment="1">
      <alignment vertical="center" wrapText="1"/>
    </xf>
    <xf numFmtId="0" fontId="14" fillId="0" borderId="4" xfId="0" applyFont="1" applyBorder="1"/>
    <xf numFmtId="10" fontId="14" fillId="0" borderId="6" xfId="0" applyNumberFormat="1" applyFont="1" applyBorder="1"/>
    <xf numFmtId="0" fontId="15" fillId="0" borderId="8" xfId="0" applyFont="1" applyBorder="1"/>
    <xf numFmtId="43" fontId="15" fillId="0" borderId="8" xfId="0" applyNumberFormat="1" applyFont="1" applyBorder="1"/>
    <xf numFmtId="0" fontId="14" fillId="0" borderId="14" xfId="0" applyFont="1" applyBorder="1" applyAlignment="1">
      <alignment horizontal="left" indent="1"/>
    </xf>
    <xf numFmtId="43" fontId="14" fillId="0" borderId="14" xfId="2" applyFont="1" applyBorder="1"/>
    <xf numFmtId="0" fontId="14" fillId="0" borderId="8" xfId="0" applyFont="1" applyBorder="1"/>
    <xf numFmtId="0" fontId="14" fillId="0" borderId="14" xfId="0" applyFont="1" applyBorder="1"/>
    <xf numFmtId="43" fontId="14" fillId="0" borderId="14" xfId="0" applyNumberFormat="1" applyFont="1" applyBorder="1"/>
    <xf numFmtId="0" fontId="14" fillId="0" borderId="0" xfId="0" applyFont="1" applyFill="1" applyAlignment="1">
      <alignment horizontal="left" indent="1"/>
    </xf>
    <xf numFmtId="43" fontId="14" fillId="0" borderId="0" xfId="2" applyFont="1" applyFill="1"/>
    <xf numFmtId="0" fontId="15" fillId="0" borderId="0" xfId="0" applyFont="1" applyAlignment="1">
      <alignment vertical="center"/>
    </xf>
    <xf numFmtId="0" fontId="14" fillId="0" borderId="48" xfId="0" applyFont="1" applyBorder="1" applyAlignment="1">
      <alignment vertical="center" wrapText="1"/>
    </xf>
    <xf numFmtId="0" fontId="15" fillId="0" borderId="0" xfId="0" applyFont="1" applyFill="1" applyAlignment="1">
      <alignment horizontal="left" vertical="center"/>
    </xf>
    <xf numFmtId="4" fontId="14" fillId="0" borderId="0" xfId="0" applyNumberFormat="1" applyFont="1" applyFill="1" applyAlignment="1">
      <alignment vertical="center"/>
    </xf>
    <xf numFmtId="9" fontId="14" fillId="0" borderId="0" xfId="1" applyFont="1" applyAlignment="1">
      <alignment horizontal="center" vertical="center"/>
    </xf>
    <xf numFmtId="0" fontId="14" fillId="0" borderId="61" xfId="0" applyFont="1" applyBorder="1"/>
    <xf numFmtId="43" fontId="14" fillId="0" borderId="62" xfId="2" applyFont="1" applyBorder="1"/>
    <xf numFmtId="0" fontId="14" fillId="0" borderId="1" xfId="0" applyFont="1" applyBorder="1"/>
    <xf numFmtId="43" fontId="14" fillId="0" borderId="2" xfId="0" applyNumberFormat="1" applyFont="1" applyBorder="1"/>
    <xf numFmtId="0" fontId="14" fillId="0" borderId="60" xfId="0" applyFont="1" applyBorder="1"/>
    <xf numFmtId="43" fontId="14" fillId="10" borderId="63" xfId="0" applyNumberFormat="1" applyFont="1" applyFill="1" applyBorder="1"/>
    <xf numFmtId="0" fontId="14" fillId="0" borderId="0" xfId="0" applyFont="1" applyBorder="1"/>
    <xf numFmtId="0" fontId="12" fillId="0" borderId="0" xfId="0" applyFont="1"/>
    <xf numFmtId="0" fontId="3" fillId="0" borderId="0" xfId="0" applyFont="1" applyAlignment="1">
      <alignment horizontal="center" vertical="center"/>
    </xf>
    <xf numFmtId="44" fontId="1" fillId="0" borderId="0" xfId="0" applyNumberFormat="1" applyFont="1" applyAlignment="1">
      <alignment horizontal="center" vertical="center"/>
    </xf>
    <xf numFmtId="44" fontId="1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70" fontId="0" fillId="0" borderId="0" xfId="0" applyNumberFormat="1" applyAlignment="1">
      <alignment vertical="center"/>
    </xf>
    <xf numFmtId="170" fontId="1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43" fontId="14" fillId="0" borderId="0" xfId="0" applyNumberFormat="1" applyFont="1" applyAlignment="1">
      <alignment horizontal="left" indent="1"/>
    </xf>
    <xf numFmtId="0" fontId="15" fillId="0" borderId="0" xfId="0" applyFont="1" applyBorder="1"/>
    <xf numFmtId="0" fontId="14" fillId="0" borderId="0" xfId="0" applyFont="1" applyBorder="1" applyAlignment="1">
      <alignment horizontal="left" indent="1"/>
    </xf>
    <xf numFmtId="0" fontId="14" fillId="0" borderId="0" xfId="0" applyFont="1" applyFill="1" applyBorder="1" applyAlignment="1">
      <alignment horizontal="left" indent="1"/>
    </xf>
    <xf numFmtId="0" fontId="16" fillId="0" borderId="0" xfId="0" applyFont="1" applyBorder="1"/>
    <xf numFmtId="9" fontId="14" fillId="0" borderId="0" xfId="0" applyNumberFormat="1" applyFont="1"/>
    <xf numFmtId="0" fontId="14" fillId="0" borderId="14" xfId="0" applyFont="1" applyFill="1" applyBorder="1" applyAlignment="1">
      <alignment vertical="center"/>
    </xf>
    <xf numFmtId="10" fontId="18" fillId="0" borderId="14" xfId="1" applyNumberFormat="1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10" fontId="18" fillId="0" borderId="0" xfId="1" applyNumberFormat="1" applyFont="1" applyFill="1" applyBorder="1" applyAlignment="1">
      <alignment horizontal="center" vertical="center"/>
    </xf>
    <xf numFmtId="10" fontId="14" fillId="0" borderId="0" xfId="0" applyNumberFormat="1" applyFont="1"/>
    <xf numFmtId="3" fontId="14" fillId="0" borderId="0" xfId="0" applyNumberFormat="1" applyFont="1"/>
    <xf numFmtId="4" fontId="14" fillId="0" borderId="0" xfId="0" applyNumberFormat="1" applyFont="1" applyFill="1" applyBorder="1" applyAlignment="1">
      <alignment vertical="center"/>
    </xf>
    <xf numFmtId="0" fontId="14" fillId="0" borderId="50" xfId="0" applyFont="1" applyBorder="1"/>
    <xf numFmtId="43" fontId="14" fillId="0" borderId="8" xfId="0" applyNumberFormat="1" applyFont="1" applyBorder="1"/>
    <xf numFmtId="43" fontId="14" fillId="0" borderId="0" xfId="0" applyNumberFormat="1" applyFont="1" applyBorder="1"/>
    <xf numFmtId="43" fontId="14" fillId="0" borderId="0" xfId="2" applyFont="1" applyBorder="1"/>
    <xf numFmtId="0" fontId="14" fillId="0" borderId="7" xfId="0" applyFont="1" applyFill="1" applyBorder="1" applyAlignment="1">
      <alignment vertical="center"/>
    </xf>
    <xf numFmtId="0" fontId="14" fillId="0" borderId="13" xfId="0" applyFont="1" applyFill="1" applyBorder="1" applyAlignment="1">
      <alignment vertical="center"/>
    </xf>
    <xf numFmtId="0" fontId="14" fillId="0" borderId="16" xfId="0" applyFont="1" applyFill="1" applyBorder="1" applyAlignment="1">
      <alignment vertical="center"/>
    </xf>
    <xf numFmtId="4" fontId="14" fillId="0" borderId="15" xfId="0" applyNumberFormat="1" applyFont="1" applyFill="1" applyBorder="1" applyAlignment="1">
      <alignment vertical="center"/>
    </xf>
    <xf numFmtId="4" fontId="14" fillId="0" borderId="12" xfId="0" applyNumberFormat="1" applyFont="1" applyFill="1" applyBorder="1" applyAlignment="1">
      <alignment vertical="center"/>
    </xf>
    <xf numFmtId="0" fontId="14" fillId="0" borderId="9" xfId="0" applyFont="1" applyFill="1" applyBorder="1" applyAlignment="1">
      <alignment vertical="center"/>
    </xf>
    <xf numFmtId="0" fontId="14" fillId="0" borderId="16" xfId="0" applyFont="1" applyFill="1" applyBorder="1" applyAlignment="1">
      <alignment vertical="center" wrapText="1"/>
    </xf>
    <xf numFmtId="43" fontId="18" fillId="0" borderId="15" xfId="0" applyNumberFormat="1" applyFont="1" applyFill="1" applyBorder="1" applyAlignment="1">
      <alignment vertical="center"/>
    </xf>
    <xf numFmtId="43" fontId="18" fillId="0" borderId="12" xfId="0" applyNumberFormat="1" applyFont="1" applyFill="1" applyBorder="1" applyAlignment="1">
      <alignment vertical="center"/>
    </xf>
    <xf numFmtId="4" fontId="14" fillId="0" borderId="15" xfId="0" applyNumberFormat="1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vertical="center" wrapText="1"/>
    </xf>
    <xf numFmtId="0" fontId="15" fillId="2" borderId="0" xfId="0" applyFont="1" applyFill="1" applyBorder="1"/>
    <xf numFmtId="0" fontId="15" fillId="9" borderId="14" xfId="0" applyFont="1" applyFill="1" applyBorder="1"/>
    <xf numFmtId="0" fontId="15" fillId="9" borderId="14" xfId="0" applyFont="1" applyFill="1" applyBorder="1" applyAlignment="1">
      <alignment horizontal="center"/>
    </xf>
    <xf numFmtId="0" fontId="15" fillId="9" borderId="0" xfId="0" applyFont="1" applyFill="1" applyBorder="1"/>
    <xf numFmtId="0" fontId="15" fillId="2" borderId="0" xfId="0" applyFont="1" applyFill="1"/>
    <xf numFmtId="43" fontId="15" fillId="2" borderId="0" xfId="0" applyNumberFormat="1" applyFont="1" applyFill="1" applyAlignment="1">
      <alignment horizontal="left" indent="1"/>
    </xf>
    <xf numFmtId="43" fontId="15" fillId="2" borderId="0" xfId="2" applyFont="1" applyFill="1"/>
    <xf numFmtId="0" fontId="5" fillId="11" borderId="40" xfId="0" applyFont="1" applyFill="1" applyBorder="1" applyAlignment="1">
      <alignment vertical="center"/>
    </xf>
    <xf numFmtId="0" fontId="4" fillId="11" borderId="5" xfId="0" applyFont="1" applyFill="1" applyBorder="1" applyAlignment="1">
      <alignment horizontal="center" vertical="center"/>
    </xf>
    <xf numFmtId="0" fontId="4" fillId="11" borderId="4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vertical="center"/>
    </xf>
    <xf numFmtId="0" fontId="14" fillId="0" borderId="0" xfId="0" applyFont="1" applyFill="1"/>
    <xf numFmtId="10" fontId="18" fillId="0" borderId="51" xfId="0" applyNumberFormat="1" applyFont="1" applyBorder="1"/>
    <xf numFmtId="10" fontId="18" fillId="0" borderId="51" xfId="1" applyNumberFormat="1" applyFont="1" applyFill="1" applyBorder="1"/>
    <xf numFmtId="0" fontId="14" fillId="0" borderId="14" xfId="0" applyFont="1" applyBorder="1" applyAlignment="1">
      <alignment horizontal="left"/>
    </xf>
    <xf numFmtId="169" fontId="14" fillId="0" borderId="0" xfId="2" applyNumberFormat="1" applyFont="1"/>
    <xf numFmtId="0" fontId="15" fillId="0" borderId="0" xfId="0" applyFont="1"/>
    <xf numFmtId="169" fontId="15" fillId="0" borderId="0" xfId="0" applyNumberFormat="1" applyFont="1"/>
    <xf numFmtId="0" fontId="14" fillId="0" borderId="0" xfId="0" applyFont="1" applyAlignment="1">
      <alignment horizontal="center"/>
    </xf>
    <xf numFmtId="169" fontId="14" fillId="0" borderId="0" xfId="0" applyNumberFormat="1" applyFont="1"/>
    <xf numFmtId="169" fontId="14" fillId="0" borderId="0" xfId="2" applyNumberFormat="1" applyFont="1" applyFill="1"/>
    <xf numFmtId="0" fontId="17" fillId="0" borderId="0" xfId="0" applyFont="1" applyAlignment="1">
      <alignment horizontal="left" indent="1"/>
    </xf>
    <xf numFmtId="0" fontId="17" fillId="0" borderId="0" xfId="0" applyFont="1" applyAlignment="1">
      <alignment horizontal="center"/>
    </xf>
    <xf numFmtId="169" fontId="17" fillId="0" borderId="0" xfId="0" applyNumberFormat="1" applyFont="1"/>
    <xf numFmtId="169" fontId="17" fillId="0" borderId="0" xfId="2" applyNumberFormat="1" applyFont="1"/>
    <xf numFmtId="169" fontId="15" fillId="0" borderId="0" xfId="2" applyNumberFormat="1" applyFont="1"/>
    <xf numFmtId="0" fontId="14" fillId="0" borderId="14" xfId="0" applyFont="1" applyBorder="1" applyAlignment="1">
      <alignment horizontal="center"/>
    </xf>
    <xf numFmtId="169" fontId="15" fillId="0" borderId="14" xfId="0" applyNumberFormat="1" applyFont="1" applyBorder="1"/>
    <xf numFmtId="9" fontId="14" fillId="0" borderId="0" xfId="1" applyFont="1"/>
    <xf numFmtId="173" fontId="18" fillId="0" borderId="0" xfId="2" applyNumberFormat="1" applyFont="1" applyFill="1" applyBorder="1" applyAlignment="1">
      <alignment horizontal="center" vertical="center"/>
    </xf>
    <xf numFmtId="173" fontId="18" fillId="0" borderId="15" xfId="0" applyNumberFormat="1" applyFont="1" applyFill="1" applyBorder="1" applyAlignment="1">
      <alignment horizontal="center" vertical="center"/>
    </xf>
    <xf numFmtId="173" fontId="18" fillId="0" borderId="14" xfId="0" applyNumberFormat="1" applyFont="1" applyFill="1" applyBorder="1" applyAlignment="1">
      <alignment horizontal="center" vertical="center"/>
    </xf>
    <xf numFmtId="173" fontId="18" fillId="0" borderId="12" xfId="0" applyNumberFormat="1" applyFont="1" applyFill="1" applyBorder="1" applyAlignment="1">
      <alignment horizontal="center" vertical="center"/>
    </xf>
    <xf numFmtId="173" fontId="18" fillId="0" borderId="0" xfId="0" applyNumberFormat="1" applyFont="1" applyFill="1" applyBorder="1" applyAlignment="1">
      <alignment horizontal="center" vertical="center"/>
    </xf>
    <xf numFmtId="4" fontId="14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4" fontId="14" fillId="0" borderId="14" xfId="0" applyNumberFormat="1" applyFont="1" applyFill="1" applyBorder="1" applyAlignment="1">
      <alignment vertical="center"/>
    </xf>
    <xf numFmtId="0" fontId="14" fillId="0" borderId="13" xfId="0" applyFont="1" applyFill="1" applyBorder="1" applyAlignment="1">
      <alignment vertical="center" wrapText="1"/>
    </xf>
    <xf numFmtId="3" fontId="18" fillId="0" borderId="14" xfId="0" applyNumberFormat="1" applyFont="1" applyFill="1" applyBorder="1" applyAlignment="1">
      <alignment horizontal="center" vertical="center"/>
    </xf>
    <xf numFmtId="4" fontId="14" fillId="0" borderId="12" xfId="0" applyNumberFormat="1" applyFont="1" applyFill="1" applyBorder="1" applyAlignment="1">
      <alignment horizontal="center" vertical="center"/>
    </xf>
    <xf numFmtId="43" fontId="14" fillId="0" borderId="0" xfId="0" applyNumberFormat="1" applyFont="1" applyFill="1"/>
    <xf numFmtId="4" fontId="14" fillId="0" borderId="0" xfId="0" applyNumberFormat="1" applyFont="1"/>
    <xf numFmtId="0" fontId="21" fillId="0" borderId="0" xfId="3" applyFont="1" applyFill="1" applyBorder="1" applyAlignment="1">
      <alignment horizontal="left" vertical="center"/>
    </xf>
    <xf numFmtId="0" fontId="22" fillId="0" borderId="0" xfId="3" applyFont="1" applyFill="1" applyBorder="1" applyAlignment="1">
      <alignment horizontal="right" vertical="center"/>
    </xf>
    <xf numFmtId="0" fontId="23" fillId="0" borderId="64" xfId="3" applyFont="1" applyFill="1" applyBorder="1" applyAlignment="1">
      <alignment vertical="center"/>
    </xf>
    <xf numFmtId="0" fontId="24" fillId="0" borderId="64" xfId="3" applyFont="1" applyFill="1" applyBorder="1" applyAlignment="1">
      <alignment horizontal="right" vertical="center"/>
    </xf>
    <xf numFmtId="0" fontId="27" fillId="0" borderId="65" xfId="3" applyFont="1" applyFill="1" applyBorder="1" applyAlignment="1">
      <alignment horizontal="center" vertical="center"/>
    </xf>
    <xf numFmtId="0" fontId="5" fillId="0" borderId="65" xfId="3" applyFont="1" applyFill="1" applyBorder="1" applyAlignment="1">
      <alignment horizontal="left" vertical="center"/>
    </xf>
    <xf numFmtId="0" fontId="29" fillId="0" borderId="65" xfId="3" applyFont="1" applyFill="1" applyBorder="1" applyAlignment="1">
      <alignment horizontal="left" vertical="center"/>
    </xf>
    <xf numFmtId="0" fontId="4" fillId="2" borderId="65" xfId="3" applyFont="1" applyFill="1" applyBorder="1" applyAlignment="1">
      <alignment horizontal="left" vertical="center"/>
    </xf>
    <xf numFmtId="2" fontId="30" fillId="2" borderId="65" xfId="3" applyNumberFormat="1" applyFont="1" applyFill="1" applyBorder="1" applyAlignment="1">
      <alignment horizontal="right" vertical="center" shrinkToFit="1"/>
    </xf>
    <xf numFmtId="0" fontId="4" fillId="0" borderId="65" xfId="3" applyFont="1" applyFill="1" applyBorder="1" applyAlignment="1">
      <alignment horizontal="left" vertical="center"/>
    </xf>
    <xf numFmtId="2" fontId="30" fillId="0" borderId="65" xfId="3" applyNumberFormat="1" applyFont="1" applyFill="1" applyBorder="1" applyAlignment="1">
      <alignment horizontal="right" vertical="center" shrinkToFit="1"/>
    </xf>
    <xf numFmtId="0" fontId="5" fillId="2" borderId="65" xfId="3" applyFont="1" applyFill="1" applyBorder="1" applyAlignment="1">
      <alignment horizontal="left" vertical="center"/>
    </xf>
    <xf numFmtId="0" fontId="29" fillId="2" borderId="65" xfId="3" applyFont="1" applyFill="1" applyBorder="1" applyAlignment="1">
      <alignment horizontal="left" vertical="center"/>
    </xf>
    <xf numFmtId="0" fontId="30" fillId="0" borderId="65" xfId="3" applyFont="1" applyFill="1" applyBorder="1" applyAlignment="1">
      <alignment horizontal="left" vertical="center"/>
    </xf>
    <xf numFmtId="0" fontId="5" fillId="0" borderId="65" xfId="3" applyFont="1" applyFill="1" applyBorder="1" applyAlignment="1">
      <alignment horizontal="right" vertical="center"/>
    </xf>
    <xf numFmtId="4" fontId="29" fillId="0" borderId="65" xfId="3" applyNumberFormat="1" applyFont="1" applyFill="1" applyBorder="1" applyAlignment="1">
      <alignment horizontal="right" vertical="center" shrinkToFit="1"/>
    </xf>
    <xf numFmtId="4" fontId="30" fillId="0" borderId="65" xfId="3" applyNumberFormat="1" applyFont="1" applyFill="1" applyBorder="1" applyAlignment="1">
      <alignment horizontal="right" vertical="center" shrinkToFit="1"/>
    </xf>
    <xf numFmtId="4" fontId="30" fillId="2" borderId="65" xfId="3" applyNumberFormat="1" applyFont="1" applyFill="1" applyBorder="1" applyAlignment="1">
      <alignment horizontal="right" vertical="center" shrinkToFit="1"/>
    </xf>
    <xf numFmtId="0" fontId="31" fillId="0" borderId="0" xfId="3" applyFont="1" applyFill="1" applyBorder="1" applyAlignment="1">
      <alignment vertical="center" textRotation="90"/>
    </xf>
    <xf numFmtId="2" fontId="29" fillId="2" borderId="65" xfId="3" applyNumberFormat="1" applyFont="1" applyFill="1" applyBorder="1" applyAlignment="1">
      <alignment horizontal="right" vertical="center" shrinkToFit="1"/>
    </xf>
    <xf numFmtId="4" fontId="29" fillId="2" borderId="65" xfId="3" applyNumberFormat="1" applyFont="1" applyFill="1" applyBorder="1" applyAlignment="1">
      <alignment horizontal="right" vertical="center" shrinkToFit="1"/>
    </xf>
    <xf numFmtId="0" fontId="29" fillId="2" borderId="66" xfId="3" applyFont="1" applyFill="1" applyBorder="1" applyAlignment="1">
      <alignment vertical="center"/>
    </xf>
    <xf numFmtId="0" fontId="29" fillId="2" borderId="68" xfId="3" applyFont="1" applyFill="1" applyBorder="1" applyAlignment="1">
      <alignment vertical="center"/>
    </xf>
    <xf numFmtId="0" fontId="29" fillId="2" borderId="67" xfId="3" applyFont="1" applyFill="1" applyBorder="1" applyAlignment="1">
      <alignment vertical="center"/>
    </xf>
    <xf numFmtId="0" fontId="20" fillId="0" borderId="0" xfId="3" applyFill="1" applyBorder="1" applyAlignment="1">
      <alignment horizontal="left" vertical="top" wrapText="1" indent="9"/>
    </xf>
    <xf numFmtId="0" fontId="32" fillId="0" borderId="0" xfId="3" applyFont="1" applyFill="1" applyBorder="1" applyAlignment="1">
      <alignment horizontal="left" vertical="top"/>
    </xf>
    <xf numFmtId="0" fontId="20" fillId="0" borderId="0" xfId="3" applyFill="1" applyBorder="1" applyAlignment="1">
      <alignment horizontal="left" vertical="top"/>
    </xf>
    <xf numFmtId="0" fontId="39" fillId="0" borderId="69" xfId="3" applyFont="1" applyFill="1" applyBorder="1" applyAlignment="1">
      <alignment horizontal="left" vertical="center"/>
    </xf>
    <xf numFmtId="0" fontId="39" fillId="0" borderId="69" xfId="3" applyFont="1" applyFill="1" applyBorder="1" applyAlignment="1">
      <alignment horizontal="right" vertical="center"/>
    </xf>
    <xf numFmtId="0" fontId="30" fillId="0" borderId="0" xfId="3" applyFont="1" applyFill="1" applyBorder="1" applyAlignment="1">
      <alignment horizontal="left" vertical="center"/>
    </xf>
    <xf numFmtId="0" fontId="24" fillId="0" borderId="0" xfId="3" applyFont="1" applyFill="1" applyBorder="1" applyAlignment="1">
      <alignment horizontal="right" vertical="center"/>
    </xf>
    <xf numFmtId="0" fontId="26" fillId="0" borderId="0" xfId="3" applyFont="1" applyFill="1" applyBorder="1" applyAlignment="1">
      <alignment horizontal="left" vertical="center"/>
    </xf>
    <xf numFmtId="0" fontId="30" fillId="0" borderId="73" xfId="3" applyFont="1" applyFill="1" applyBorder="1" applyAlignment="1">
      <alignment vertical="center"/>
    </xf>
    <xf numFmtId="0" fontId="30" fillId="0" borderId="0" xfId="3" applyFont="1" applyFill="1" applyBorder="1" applyAlignment="1">
      <alignment vertical="center"/>
    </xf>
    <xf numFmtId="0" fontId="40" fillId="0" borderId="0" xfId="3" applyFont="1" applyFill="1" applyBorder="1" applyAlignment="1">
      <alignment horizontal="right" vertical="center"/>
    </xf>
    <xf numFmtId="0" fontId="30" fillId="0" borderId="74" xfId="3" applyFont="1" applyFill="1" applyBorder="1" applyAlignment="1">
      <alignment vertical="center"/>
    </xf>
    <xf numFmtId="0" fontId="40" fillId="0" borderId="73" xfId="3" applyFont="1" applyFill="1" applyBorder="1" applyAlignment="1">
      <alignment vertical="center"/>
    </xf>
    <xf numFmtId="0" fontId="40" fillId="0" borderId="0" xfId="3" applyFont="1" applyFill="1" applyBorder="1" applyAlignment="1">
      <alignment horizontal="left" vertical="center"/>
    </xf>
    <xf numFmtId="0" fontId="30" fillId="0" borderId="74" xfId="3" applyFont="1" applyFill="1" applyBorder="1" applyAlignment="1">
      <alignment horizontal="left" vertical="center"/>
    </xf>
    <xf numFmtId="0" fontId="40" fillId="0" borderId="0" xfId="3" applyFont="1" applyFill="1" applyBorder="1" applyAlignment="1">
      <alignment horizontal="center" vertical="center"/>
    </xf>
    <xf numFmtId="0" fontId="30" fillId="0" borderId="75" xfId="3" applyFont="1" applyFill="1" applyBorder="1" applyAlignment="1">
      <alignment horizontal="left" vertical="center"/>
    </xf>
    <xf numFmtId="0" fontId="27" fillId="0" borderId="25" xfId="3" applyFont="1" applyFill="1" applyBorder="1" applyAlignment="1">
      <alignment horizontal="right" vertical="center"/>
    </xf>
    <xf numFmtId="0" fontId="4" fillId="0" borderId="25" xfId="3" applyFont="1" applyFill="1" applyBorder="1" applyAlignment="1">
      <alignment horizontal="left" vertical="center"/>
    </xf>
    <xf numFmtId="2" fontId="30" fillId="0" borderId="25" xfId="3" applyNumberFormat="1" applyFont="1" applyFill="1" applyBorder="1" applyAlignment="1">
      <alignment horizontal="right" vertical="center" shrinkToFit="1"/>
    </xf>
    <xf numFmtId="4" fontId="30" fillId="0" borderId="25" xfId="3" applyNumberFormat="1" applyFont="1" applyFill="1" applyBorder="1" applyAlignment="1">
      <alignment horizontal="right" vertical="center" shrinkToFit="1"/>
    </xf>
    <xf numFmtId="0" fontId="30" fillId="0" borderId="25" xfId="3" applyFont="1" applyFill="1" applyBorder="1" applyAlignment="1">
      <alignment horizontal="left" vertical="center"/>
    </xf>
    <xf numFmtId="0" fontId="4" fillId="2" borderId="25" xfId="3" applyFont="1" applyFill="1" applyBorder="1" applyAlignment="1">
      <alignment horizontal="left" vertical="center"/>
    </xf>
    <xf numFmtId="2" fontId="30" fillId="2" borderId="25" xfId="3" applyNumberFormat="1" applyFont="1" applyFill="1" applyBorder="1" applyAlignment="1">
      <alignment horizontal="right" vertical="center" shrinkToFit="1"/>
    </xf>
    <xf numFmtId="0" fontId="30" fillId="2" borderId="25" xfId="3" applyFont="1" applyFill="1" applyBorder="1" applyAlignment="1">
      <alignment horizontal="left" vertical="center"/>
    </xf>
    <xf numFmtId="4" fontId="30" fillId="2" borderId="25" xfId="3" applyNumberFormat="1" applyFont="1" applyFill="1" applyBorder="1" applyAlignment="1">
      <alignment horizontal="right" vertical="center"/>
    </xf>
    <xf numFmtId="0" fontId="5" fillId="0" borderId="25" xfId="3" applyFont="1" applyFill="1" applyBorder="1" applyAlignment="1">
      <alignment horizontal="left" vertical="center"/>
    </xf>
    <xf numFmtId="0" fontId="5" fillId="0" borderId="25" xfId="3" applyFont="1" applyFill="1" applyBorder="1" applyAlignment="1">
      <alignment horizontal="right" vertical="center"/>
    </xf>
    <xf numFmtId="3" fontId="29" fillId="0" borderId="25" xfId="3" applyNumberFormat="1" applyFont="1" applyFill="1" applyBorder="1" applyAlignment="1">
      <alignment horizontal="right" vertical="center" shrinkToFit="1"/>
    </xf>
    <xf numFmtId="1" fontId="29" fillId="0" borderId="25" xfId="3" applyNumberFormat="1" applyFont="1" applyFill="1" applyBorder="1" applyAlignment="1">
      <alignment horizontal="right" vertical="center" shrinkToFit="1"/>
    </xf>
    <xf numFmtId="0" fontId="5" fillId="2" borderId="25" xfId="3" applyFont="1" applyFill="1" applyBorder="1" applyAlignment="1">
      <alignment horizontal="left" vertical="center"/>
    </xf>
    <xf numFmtId="4" fontId="30" fillId="2" borderId="25" xfId="3" applyNumberFormat="1" applyFont="1" applyFill="1" applyBorder="1" applyAlignment="1">
      <alignment horizontal="right" vertical="center" shrinkToFit="1"/>
    </xf>
    <xf numFmtId="0" fontId="29" fillId="2" borderId="25" xfId="3" applyFont="1" applyFill="1" applyBorder="1" applyAlignment="1">
      <alignment horizontal="left" vertical="center"/>
    </xf>
    <xf numFmtId="2" fontId="29" fillId="0" borderId="25" xfId="3" applyNumberFormat="1" applyFont="1" applyFill="1" applyBorder="1" applyAlignment="1">
      <alignment horizontal="right" vertical="center" shrinkToFit="1"/>
    </xf>
    <xf numFmtId="4" fontId="29" fillId="0" borderId="25" xfId="3" applyNumberFormat="1" applyFont="1" applyFill="1" applyBorder="1" applyAlignment="1">
      <alignment horizontal="right" vertical="center" shrinkToFit="1"/>
    </xf>
    <xf numFmtId="0" fontId="29" fillId="0" borderId="25" xfId="3" applyFont="1" applyFill="1" applyBorder="1" applyAlignment="1">
      <alignment horizontal="left" vertical="center"/>
    </xf>
    <xf numFmtId="172" fontId="30" fillId="2" borderId="25" xfId="3" applyNumberFormat="1" applyFont="1" applyFill="1" applyBorder="1" applyAlignment="1">
      <alignment horizontal="right" vertical="center" shrinkToFit="1"/>
    </xf>
    <xf numFmtId="0" fontId="5" fillId="9" borderId="25" xfId="3" applyFont="1" applyFill="1" applyBorder="1" applyAlignment="1">
      <alignment horizontal="left" vertical="center"/>
    </xf>
    <xf numFmtId="0" fontId="5" fillId="9" borderId="25" xfId="3" applyFont="1" applyFill="1" applyBorder="1" applyAlignment="1">
      <alignment horizontal="right" vertical="center"/>
    </xf>
    <xf numFmtId="3" fontId="29" fillId="9" borderId="25" xfId="3" applyNumberFormat="1" applyFont="1" applyFill="1" applyBorder="1" applyAlignment="1">
      <alignment horizontal="right" vertical="center" shrinkToFit="1"/>
    </xf>
    <xf numFmtId="0" fontId="4" fillId="0" borderId="0" xfId="3" applyFont="1" applyFill="1" applyBorder="1" applyAlignment="1">
      <alignment horizontal="left" vertical="center"/>
    </xf>
    <xf numFmtId="0" fontId="30" fillId="0" borderId="0" xfId="3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horizontal="left" vertical="center"/>
    </xf>
    <xf numFmtId="0" fontId="21" fillId="0" borderId="0" xfId="3" applyFont="1" applyFill="1" applyBorder="1" applyAlignment="1">
      <alignment horizontal="center" vertical="center"/>
    </xf>
    <xf numFmtId="0" fontId="20" fillId="0" borderId="0" xfId="3" applyFill="1" applyBorder="1" applyAlignment="1">
      <alignment horizontal="left" vertical="center" wrapText="1"/>
    </xf>
    <xf numFmtId="0" fontId="32" fillId="0" borderId="0" xfId="3" applyFont="1" applyFill="1" applyBorder="1" applyAlignment="1">
      <alignment horizontal="left" vertical="center"/>
    </xf>
    <xf numFmtId="0" fontId="20" fillId="0" borderId="0" xfId="3" applyFill="1" applyBorder="1" applyAlignment="1">
      <alignment horizontal="left" vertical="center"/>
    </xf>
    <xf numFmtId="0" fontId="41" fillId="0" borderId="0" xfId="3" applyFont="1" applyFill="1" applyBorder="1" applyAlignment="1">
      <alignment horizontal="left" vertical="center"/>
    </xf>
    <xf numFmtId="0" fontId="39" fillId="0" borderId="80" xfId="3" applyFont="1" applyFill="1" applyBorder="1" applyAlignment="1">
      <alignment horizontal="left" vertical="center"/>
    </xf>
    <xf numFmtId="0" fontId="21" fillId="0" borderId="80" xfId="3" applyFont="1" applyFill="1" applyBorder="1" applyAlignment="1">
      <alignment horizontal="left" vertical="center"/>
    </xf>
    <xf numFmtId="0" fontId="39" fillId="0" borderId="80" xfId="3" applyFont="1" applyFill="1" applyBorder="1" applyAlignment="1">
      <alignment horizontal="right" vertical="center"/>
    </xf>
    <xf numFmtId="0" fontId="30" fillId="0" borderId="0" xfId="3" applyFont="1" applyFill="1" applyBorder="1" applyAlignment="1">
      <alignment horizontal="left" vertical="top"/>
    </xf>
    <xf numFmtId="0" fontId="21" fillId="0" borderId="0" xfId="3" applyFont="1" applyFill="1" applyBorder="1" applyAlignment="1">
      <alignment horizontal="left" vertical="top"/>
    </xf>
    <xf numFmtId="0" fontId="24" fillId="0" borderId="0" xfId="3" applyFont="1" applyFill="1" applyBorder="1" applyAlignment="1">
      <alignment horizontal="right" vertical="top"/>
    </xf>
    <xf numFmtId="0" fontId="40" fillId="0" borderId="73" xfId="3" applyFont="1" applyFill="1" applyBorder="1" applyAlignment="1">
      <alignment vertical="top"/>
    </xf>
    <xf numFmtId="0" fontId="30" fillId="0" borderId="74" xfId="3" applyFont="1" applyFill="1" applyBorder="1" applyAlignment="1">
      <alignment horizontal="left" vertical="top"/>
    </xf>
    <xf numFmtId="0" fontId="30" fillId="0" borderId="81" xfId="3" applyFont="1" applyFill="1" applyBorder="1" applyAlignment="1">
      <alignment horizontal="left" vertical="top"/>
    </xf>
    <xf numFmtId="0" fontId="30" fillId="0" borderId="75" xfId="3" applyFont="1" applyFill="1" applyBorder="1" applyAlignment="1">
      <alignment horizontal="left" vertical="top"/>
    </xf>
    <xf numFmtId="0" fontId="5" fillId="0" borderId="25" xfId="3" applyFont="1" applyFill="1" applyBorder="1" applyAlignment="1">
      <alignment horizontal="left" vertical="top"/>
    </xf>
    <xf numFmtId="0" fontId="29" fillId="0" borderId="25" xfId="3" applyFont="1" applyFill="1" applyBorder="1" applyAlignment="1">
      <alignment horizontal="left"/>
    </xf>
    <xf numFmtId="0" fontId="4" fillId="2" borderId="25" xfId="3" applyFont="1" applyFill="1" applyBorder="1" applyAlignment="1">
      <alignment horizontal="left" vertical="top"/>
    </xf>
    <xf numFmtId="2" fontId="30" fillId="2" borderId="25" xfId="3" applyNumberFormat="1" applyFont="1" applyFill="1" applyBorder="1" applyAlignment="1">
      <alignment horizontal="right" vertical="top" shrinkToFit="1"/>
    </xf>
    <xf numFmtId="0" fontId="30" fillId="2" borderId="25" xfId="3" applyFont="1" applyFill="1" applyBorder="1" applyAlignment="1">
      <alignment horizontal="left"/>
    </xf>
    <xf numFmtId="0" fontId="4" fillId="0" borderId="25" xfId="3" applyFont="1" applyFill="1" applyBorder="1" applyAlignment="1">
      <alignment horizontal="left" vertical="top"/>
    </xf>
    <xf numFmtId="2" fontId="30" fillId="0" borderId="25" xfId="3" applyNumberFormat="1" applyFont="1" applyFill="1" applyBorder="1" applyAlignment="1">
      <alignment horizontal="right" vertical="top" shrinkToFit="1"/>
    </xf>
    <xf numFmtId="0" fontId="30" fillId="0" borderId="25" xfId="3" applyFont="1" applyFill="1" applyBorder="1" applyAlignment="1">
      <alignment horizontal="left"/>
    </xf>
    <xf numFmtId="0" fontId="5" fillId="2" borderId="25" xfId="3" applyFont="1" applyFill="1" applyBorder="1" applyAlignment="1">
      <alignment horizontal="left" vertical="top"/>
    </xf>
    <xf numFmtId="0" fontId="29" fillId="2" borderId="25" xfId="3" applyFont="1" applyFill="1" applyBorder="1" applyAlignment="1">
      <alignment horizontal="left"/>
    </xf>
    <xf numFmtId="4" fontId="5" fillId="0" borderId="25" xfId="3" applyNumberFormat="1" applyFont="1" applyFill="1" applyBorder="1" applyAlignment="1">
      <alignment horizontal="right" vertical="top"/>
    </xf>
    <xf numFmtId="3" fontId="29" fillId="0" borderId="25" xfId="3" applyNumberFormat="1" applyFont="1" applyFill="1" applyBorder="1" applyAlignment="1">
      <alignment horizontal="right" vertical="top" shrinkToFit="1"/>
    </xf>
    <xf numFmtId="4" fontId="30" fillId="2" borderId="25" xfId="3" applyNumberFormat="1" applyFont="1" applyFill="1" applyBorder="1" applyAlignment="1">
      <alignment horizontal="right" vertical="top" shrinkToFit="1"/>
    </xf>
    <xf numFmtId="4" fontId="30" fillId="0" borderId="25" xfId="3" applyNumberFormat="1" applyFont="1" applyFill="1" applyBorder="1" applyAlignment="1">
      <alignment horizontal="right" vertical="top" shrinkToFit="1"/>
    </xf>
    <xf numFmtId="0" fontId="4" fillId="0" borderId="25" xfId="3" applyFont="1" applyFill="1" applyBorder="1" applyAlignment="1">
      <alignment vertical="top"/>
    </xf>
    <xf numFmtId="4" fontId="30" fillId="0" borderId="0" xfId="3" applyNumberFormat="1" applyFont="1" applyFill="1" applyBorder="1" applyAlignment="1">
      <alignment horizontal="left" vertical="top"/>
    </xf>
    <xf numFmtId="0" fontId="5" fillId="0" borderId="25" xfId="3" applyFont="1" applyFill="1" applyBorder="1" applyAlignment="1">
      <alignment horizontal="right" vertical="top"/>
    </xf>
    <xf numFmtId="0" fontId="40" fillId="0" borderId="0" xfId="3" applyFont="1" applyFill="1" applyBorder="1" applyAlignment="1">
      <alignment horizontal="left" vertical="top"/>
    </xf>
    <xf numFmtId="0" fontId="40" fillId="0" borderId="0" xfId="3" applyFont="1" applyFill="1" applyBorder="1" applyAlignment="1">
      <alignment horizontal="right" vertical="top"/>
    </xf>
    <xf numFmtId="175" fontId="40" fillId="0" borderId="0" xfId="3" applyNumberFormat="1" applyFont="1" applyFill="1" applyBorder="1" applyAlignment="1">
      <alignment horizontal="left" vertical="top"/>
    </xf>
    <xf numFmtId="0" fontId="40" fillId="0" borderId="81" xfId="3" applyFont="1" applyFill="1" applyBorder="1" applyAlignment="1">
      <alignment horizontal="left" vertical="top"/>
    </xf>
    <xf numFmtId="0" fontId="28" fillId="0" borderId="25" xfId="3" applyFont="1" applyFill="1" applyBorder="1" applyAlignment="1">
      <alignment horizontal="center" vertical="center"/>
    </xf>
    <xf numFmtId="0" fontId="4" fillId="0" borderId="25" xfId="3" quotePrefix="1" applyFont="1" applyFill="1" applyBorder="1" applyAlignment="1">
      <alignment horizontal="left" vertical="top"/>
    </xf>
    <xf numFmtId="4" fontId="30" fillId="0" borderId="25" xfId="3" applyNumberFormat="1" applyFont="1" applyFill="1" applyBorder="1" applyAlignment="1">
      <alignment horizontal="right"/>
    </xf>
    <xf numFmtId="4" fontId="30" fillId="2" borderId="25" xfId="3" applyNumberFormat="1" applyFont="1" applyFill="1" applyBorder="1" applyAlignment="1">
      <alignment horizontal="right"/>
    </xf>
    <xf numFmtId="4" fontId="29" fillId="0" borderId="25" xfId="3" applyNumberFormat="1" applyFont="1" applyFill="1" applyBorder="1" applyAlignment="1">
      <alignment horizontal="right"/>
    </xf>
    <xf numFmtId="4" fontId="29" fillId="2" borderId="25" xfId="3" applyNumberFormat="1" applyFont="1" applyFill="1" applyBorder="1" applyAlignment="1">
      <alignment horizontal="right"/>
    </xf>
    <xf numFmtId="0" fontId="29" fillId="0" borderId="25" xfId="3" applyFont="1" applyFill="1" applyBorder="1" applyAlignment="1">
      <alignment horizontal="right"/>
    </xf>
    <xf numFmtId="0" fontId="4" fillId="2" borderId="25" xfId="3" applyFont="1" applyFill="1" applyBorder="1" applyAlignment="1">
      <alignment vertical="top"/>
    </xf>
    <xf numFmtId="4" fontId="30" fillId="2" borderId="25" xfId="3" applyNumberFormat="1" applyFont="1" applyFill="1" applyBorder="1" applyAlignment="1">
      <alignment horizontal="right" vertical="top"/>
    </xf>
    <xf numFmtId="4" fontId="30" fillId="0" borderId="25" xfId="3" applyNumberFormat="1" applyFont="1" applyFill="1" applyBorder="1" applyAlignment="1">
      <alignment horizontal="right" vertical="top"/>
    </xf>
    <xf numFmtId="0" fontId="29" fillId="2" borderId="25" xfId="3" applyFont="1" applyFill="1" applyBorder="1" applyAlignment="1">
      <alignment horizontal="right"/>
    </xf>
    <xf numFmtId="2" fontId="29" fillId="0" borderId="25" xfId="3" applyNumberFormat="1" applyFont="1" applyFill="1" applyBorder="1" applyAlignment="1">
      <alignment horizontal="left"/>
    </xf>
    <xf numFmtId="2" fontId="5" fillId="0" borderId="25" xfId="3" applyNumberFormat="1" applyFont="1" applyFill="1" applyBorder="1" applyAlignment="1">
      <alignment horizontal="right" vertical="top"/>
    </xf>
    <xf numFmtId="10" fontId="30" fillId="0" borderId="25" xfId="5" applyNumberFormat="1" applyFont="1" applyFill="1" applyBorder="1" applyAlignment="1">
      <alignment horizontal="right" vertical="top" shrinkToFit="1"/>
    </xf>
    <xf numFmtId="10" fontId="30" fillId="2" borderId="25" xfId="5" applyNumberFormat="1" applyFont="1" applyFill="1" applyBorder="1" applyAlignment="1">
      <alignment horizontal="right" vertical="top" shrinkToFit="1"/>
    </xf>
    <xf numFmtId="0" fontId="5" fillId="0" borderId="0" xfId="3" applyFont="1" applyFill="1" applyBorder="1" applyAlignment="1">
      <alignment horizontal="left" vertical="top"/>
    </xf>
    <xf numFmtId="0" fontId="5" fillId="0" borderId="0" xfId="3" applyFont="1" applyFill="1" applyBorder="1" applyAlignment="1">
      <alignment horizontal="right" vertical="top"/>
    </xf>
    <xf numFmtId="0" fontId="5" fillId="0" borderId="0" xfId="3" applyFont="1" applyFill="1" applyBorder="1" applyAlignment="1">
      <alignment horizontal="center" vertical="top"/>
    </xf>
    <xf numFmtId="0" fontId="27" fillId="0" borderId="25" xfId="3" applyFont="1" applyFill="1" applyBorder="1" applyAlignment="1">
      <alignment horizontal="center" vertical="center" wrapText="1"/>
    </xf>
    <xf numFmtId="0" fontId="27" fillId="0" borderId="25" xfId="3" applyFont="1" applyFill="1" applyBorder="1" applyAlignment="1">
      <alignment horizontal="center" vertical="center"/>
    </xf>
    <xf numFmtId="4" fontId="29" fillId="2" borderId="25" xfId="3" applyNumberFormat="1" applyFont="1" applyFill="1" applyBorder="1" applyAlignment="1">
      <alignment horizontal="left" vertical="center"/>
    </xf>
    <xf numFmtId="4" fontId="29" fillId="0" borderId="25" xfId="3" applyNumberFormat="1" applyFont="1" applyFill="1" applyBorder="1" applyAlignment="1">
      <alignment horizontal="left" vertical="center"/>
    </xf>
    <xf numFmtId="4" fontId="29" fillId="2" borderId="25" xfId="3" applyNumberFormat="1" applyFont="1" applyFill="1" applyBorder="1" applyAlignment="1">
      <alignment horizontal="right" vertical="center" shrinkToFit="1"/>
    </xf>
    <xf numFmtId="10" fontId="30" fillId="2" borderId="25" xfId="5" applyNumberFormat="1" applyFont="1" applyFill="1" applyBorder="1" applyAlignment="1">
      <alignment horizontal="right" vertical="center" shrinkToFit="1"/>
    </xf>
    <xf numFmtId="0" fontId="21" fillId="0" borderId="0" xfId="3" applyFont="1" applyFill="1" applyBorder="1" applyAlignment="1">
      <alignment horizontal="left" vertical="center"/>
    </xf>
    <xf numFmtId="0" fontId="40" fillId="0" borderId="85" xfId="3" applyFont="1" applyFill="1" applyBorder="1" applyAlignment="1">
      <alignment horizontal="left" vertical="center"/>
    </xf>
    <xf numFmtId="0" fontId="40" fillId="0" borderId="86" xfId="3" applyFont="1" applyFill="1" applyBorder="1" applyAlignment="1">
      <alignment horizontal="left" vertical="center"/>
    </xf>
    <xf numFmtId="0" fontId="40" fillId="0" borderId="87" xfId="3" applyFont="1" applyFill="1" applyBorder="1" applyAlignment="1">
      <alignment horizontal="left" vertical="center"/>
    </xf>
    <xf numFmtId="0" fontId="40" fillId="0" borderId="88" xfId="3" applyFont="1" applyFill="1" applyBorder="1" applyAlignment="1">
      <alignment horizontal="left" vertical="center"/>
    </xf>
    <xf numFmtId="0" fontId="40" fillId="0" borderId="64" xfId="3" applyFont="1" applyFill="1" applyBorder="1" applyAlignment="1">
      <alignment horizontal="left" vertical="center"/>
    </xf>
    <xf numFmtId="0" fontId="40" fillId="0" borderId="89" xfId="3" applyFont="1" applyFill="1" applyBorder="1" applyAlignment="1">
      <alignment horizontal="left" vertical="center"/>
    </xf>
    <xf numFmtId="0" fontId="28" fillId="0" borderId="65" xfId="3" applyFont="1" applyFill="1" applyBorder="1" applyAlignment="1">
      <alignment horizontal="center" vertical="center"/>
    </xf>
    <xf numFmtId="4" fontId="30" fillId="0" borderId="65" xfId="3" applyNumberFormat="1" applyFont="1" applyFill="1" applyBorder="1" applyAlignment="1">
      <alignment vertical="center" shrinkToFit="1"/>
    </xf>
    <xf numFmtId="4" fontId="29" fillId="2" borderId="65" xfId="3" applyNumberFormat="1" applyFont="1" applyFill="1" applyBorder="1" applyAlignment="1">
      <alignment horizontal="left" vertical="center"/>
    </xf>
    <xf numFmtId="4" fontId="30" fillId="2" borderId="65" xfId="3" applyNumberFormat="1" applyFont="1" applyFill="1" applyBorder="1" applyAlignment="1">
      <alignment vertical="center"/>
    </xf>
    <xf numFmtId="4" fontId="30" fillId="0" borderId="65" xfId="3" applyNumberFormat="1" applyFont="1" applyFill="1" applyBorder="1" applyAlignment="1">
      <alignment vertical="center"/>
    </xf>
    <xf numFmtId="4" fontId="30" fillId="2" borderId="65" xfId="3" applyNumberFormat="1" applyFont="1" applyFill="1" applyBorder="1" applyAlignment="1">
      <alignment vertical="center" shrinkToFit="1"/>
    </xf>
    <xf numFmtId="4" fontId="29" fillId="0" borderId="65" xfId="3" applyNumberFormat="1" applyFont="1" applyFill="1" applyBorder="1" applyAlignment="1">
      <alignment horizontal="left" vertical="center"/>
    </xf>
    <xf numFmtId="4" fontId="29" fillId="0" borderId="65" xfId="3" applyNumberFormat="1" applyFont="1" applyFill="1" applyBorder="1" applyAlignment="1">
      <alignment vertical="center" shrinkToFit="1"/>
    </xf>
    <xf numFmtId="10" fontId="30" fillId="2" borderId="65" xfId="5" applyNumberFormat="1" applyFont="1" applyFill="1" applyBorder="1" applyAlignment="1">
      <alignment horizontal="right" vertical="center" shrinkToFit="1"/>
    </xf>
    <xf numFmtId="165" fontId="29" fillId="0" borderId="65" xfId="3" applyNumberFormat="1" applyFont="1" applyFill="1" applyBorder="1" applyAlignment="1">
      <alignment horizontal="left" vertical="center"/>
    </xf>
    <xf numFmtId="175" fontId="40" fillId="0" borderId="90" xfId="3" applyNumberFormat="1" applyFont="1" applyFill="1" applyBorder="1" applyAlignment="1">
      <alignment horizontal="left" vertical="top"/>
    </xf>
    <xf numFmtId="175" fontId="40" fillId="0" borderId="89" xfId="3" applyNumberFormat="1" applyFont="1" applyFill="1" applyBorder="1" applyAlignment="1">
      <alignment horizontal="left" vertical="top"/>
    </xf>
    <xf numFmtId="4" fontId="30" fillId="0" borderId="65" xfId="3" applyNumberFormat="1" applyFont="1" applyFill="1" applyBorder="1" applyAlignment="1">
      <alignment horizontal="left" vertical="center"/>
    </xf>
    <xf numFmtId="4" fontId="30" fillId="2" borderId="65" xfId="3" applyNumberFormat="1" applyFont="1" applyFill="1" applyBorder="1" applyAlignment="1">
      <alignment horizontal="left" vertical="center"/>
    </xf>
    <xf numFmtId="0" fontId="30" fillId="2" borderId="65" xfId="3" applyFont="1" applyFill="1" applyBorder="1" applyAlignment="1">
      <alignment horizontal="left" vertical="center"/>
    </xf>
    <xf numFmtId="3" fontId="29" fillId="0" borderId="65" xfId="3" applyNumberFormat="1" applyFont="1" applyFill="1" applyBorder="1" applyAlignment="1">
      <alignment horizontal="right" vertical="center" shrinkToFit="1"/>
    </xf>
    <xf numFmtId="3" fontId="30" fillId="2" borderId="65" xfId="3" applyNumberFormat="1" applyFont="1" applyFill="1" applyBorder="1" applyAlignment="1">
      <alignment horizontal="right" vertical="center" shrinkToFit="1"/>
    </xf>
    <xf numFmtId="3" fontId="30" fillId="0" borderId="65" xfId="3" applyNumberFormat="1" applyFont="1" applyFill="1" applyBorder="1" applyAlignment="1">
      <alignment horizontal="right" vertical="center" shrinkToFit="1"/>
    </xf>
    <xf numFmtId="1" fontId="30" fillId="0" borderId="65" xfId="3" applyNumberFormat="1" applyFont="1" applyFill="1" applyBorder="1" applyAlignment="1">
      <alignment horizontal="right" vertical="center" shrinkToFit="1"/>
    </xf>
    <xf numFmtId="10" fontId="30" fillId="2" borderId="65" xfId="3" applyNumberFormat="1" applyFont="1" applyFill="1" applyBorder="1" applyAlignment="1">
      <alignment horizontal="right" vertical="center" shrinkToFit="1"/>
    </xf>
    <xf numFmtId="0" fontId="5" fillId="9" borderId="65" xfId="3" applyFont="1" applyFill="1" applyBorder="1" applyAlignment="1">
      <alignment horizontal="left" vertical="center"/>
    </xf>
    <xf numFmtId="0" fontId="5" fillId="9" borderId="65" xfId="3" applyFont="1" applyFill="1" applyBorder="1" applyAlignment="1">
      <alignment horizontal="right" vertical="center"/>
    </xf>
    <xf numFmtId="3" fontId="29" fillId="9" borderId="65" xfId="3" applyNumberFormat="1" applyFont="1" applyFill="1" applyBorder="1" applyAlignment="1">
      <alignment horizontal="center" vertical="center" shrinkToFit="1"/>
    </xf>
    <xf numFmtId="0" fontId="29" fillId="9" borderId="65" xfId="3" applyFont="1" applyFill="1" applyBorder="1" applyAlignment="1">
      <alignment horizontal="left" vertical="center"/>
    </xf>
    <xf numFmtId="3" fontId="29" fillId="9" borderId="65" xfId="3" applyNumberFormat="1" applyFont="1" applyFill="1" applyBorder="1" applyAlignment="1">
      <alignment vertical="center" shrinkToFit="1"/>
    </xf>
    <xf numFmtId="3" fontId="29" fillId="9" borderId="65" xfId="3" applyNumberFormat="1" applyFont="1" applyFill="1" applyBorder="1" applyAlignment="1">
      <alignment horizontal="left" vertical="center" shrinkToFit="1"/>
    </xf>
    <xf numFmtId="179" fontId="5" fillId="0" borderId="65" xfId="3" applyNumberFormat="1" applyFont="1" applyFill="1" applyBorder="1" applyAlignment="1">
      <alignment vertical="center"/>
    </xf>
    <xf numFmtId="179" fontId="29" fillId="0" borderId="65" xfId="3" applyNumberFormat="1" applyFont="1" applyFill="1" applyBorder="1" applyAlignment="1">
      <alignment vertical="center"/>
    </xf>
    <xf numFmtId="3" fontId="29" fillId="0" borderId="65" xfId="3" applyNumberFormat="1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vertical="center"/>
    </xf>
    <xf numFmtId="4" fontId="21" fillId="0" borderId="0" xfId="3" applyNumberFormat="1" applyFont="1" applyFill="1" applyBorder="1" applyAlignment="1">
      <alignment horizontal="left" vertical="center"/>
    </xf>
    <xf numFmtId="0" fontId="44" fillId="0" borderId="0" xfId="3" applyFont="1" applyFill="1" applyBorder="1" applyAlignment="1">
      <alignment horizontal="left" vertical="center"/>
    </xf>
    <xf numFmtId="0" fontId="44" fillId="0" borderId="0" xfId="3" applyFont="1" applyFill="1" applyBorder="1" applyAlignment="1">
      <alignment vertical="center"/>
    </xf>
    <xf numFmtId="181" fontId="44" fillId="0" borderId="0" xfId="3" applyNumberFormat="1" applyFont="1" applyFill="1" applyBorder="1" applyAlignment="1">
      <alignment horizontal="left" vertical="center"/>
    </xf>
    <xf numFmtId="0" fontId="21" fillId="9" borderId="0" xfId="3" applyFont="1" applyFill="1" applyBorder="1" applyAlignment="1">
      <alignment horizontal="left" vertical="center"/>
    </xf>
    <xf numFmtId="0" fontId="44" fillId="2" borderId="0" xfId="3" applyFont="1" applyFill="1" applyBorder="1" applyAlignment="1">
      <alignment horizontal="left" vertical="center"/>
    </xf>
    <xf numFmtId="181" fontId="44" fillId="2" borderId="0" xfId="3" applyNumberFormat="1" applyFont="1" applyFill="1" applyBorder="1" applyAlignment="1">
      <alignment horizontal="left" vertical="center"/>
    </xf>
    <xf numFmtId="182" fontId="44" fillId="0" borderId="0" xfId="3" applyNumberFormat="1" applyFont="1" applyFill="1" applyBorder="1" applyAlignment="1">
      <alignment horizontal="left" vertical="center"/>
    </xf>
    <xf numFmtId="4" fontId="44" fillId="2" borderId="0" xfId="3" applyNumberFormat="1" applyFont="1" applyFill="1" applyBorder="1" applyAlignment="1">
      <alignment horizontal="left" vertical="center"/>
    </xf>
    <xf numFmtId="182" fontId="44" fillId="2" borderId="0" xfId="3" applyNumberFormat="1" applyFont="1" applyFill="1" applyBorder="1" applyAlignment="1">
      <alignment horizontal="left" vertical="center"/>
    </xf>
    <xf numFmtId="4" fontId="39" fillId="0" borderId="80" xfId="3" applyNumberFormat="1" applyFont="1" applyFill="1" applyBorder="1" applyAlignment="1">
      <alignment horizontal="right" vertical="center"/>
    </xf>
    <xf numFmtId="174" fontId="40" fillId="0" borderId="0" xfId="3" applyNumberFormat="1" applyFont="1" applyFill="1" applyBorder="1" applyAlignment="1">
      <alignment horizontal="left" vertical="center"/>
    </xf>
    <xf numFmtId="2" fontId="44" fillId="0" borderId="0" xfId="3" applyNumberFormat="1" applyFont="1" applyFill="1" applyBorder="1" applyAlignment="1">
      <alignment horizontal="left" vertical="center"/>
    </xf>
    <xf numFmtId="2" fontId="44" fillId="2" borderId="0" xfId="3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1" fillId="0" borderId="0" xfId="3" applyFont="1" applyFill="1" applyBorder="1" applyAlignment="1">
      <alignment horizontal="left" vertical="center"/>
    </xf>
    <xf numFmtId="4" fontId="44" fillId="0" borderId="0" xfId="3" applyNumberFormat="1" applyFont="1" applyFill="1" applyBorder="1" applyAlignment="1">
      <alignment vertical="center"/>
    </xf>
    <xf numFmtId="10" fontId="44" fillId="0" borderId="0" xfId="1" applyNumberFormat="1" applyFont="1" applyFill="1" applyBorder="1" applyAlignment="1">
      <alignment horizontal="left" vertical="center"/>
    </xf>
    <xf numFmtId="10" fontId="44" fillId="2" borderId="0" xfId="1" applyNumberFormat="1" applyFont="1" applyFill="1" applyBorder="1" applyAlignment="1">
      <alignment horizontal="left" vertical="center"/>
    </xf>
    <xf numFmtId="0" fontId="1" fillId="9" borderId="0" xfId="0" applyFont="1" applyFill="1" applyAlignment="1">
      <alignment vertical="center"/>
    </xf>
    <xf numFmtId="0" fontId="1" fillId="9" borderId="0" xfId="0" applyFont="1" applyFill="1" applyAlignment="1">
      <alignment horizontal="center" vertical="center" wrapText="1"/>
    </xf>
    <xf numFmtId="0" fontId="1" fillId="9" borderId="0" xfId="0" applyFont="1" applyFill="1" applyAlignment="1">
      <alignment horizontal="center" vertical="center"/>
    </xf>
    <xf numFmtId="17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168" fontId="0" fillId="0" borderId="0" xfId="0" applyNumberFormat="1" applyAlignment="1">
      <alignment vertical="center"/>
    </xf>
    <xf numFmtId="17" fontId="0" fillId="0" borderId="0" xfId="0" applyNumberFormat="1" applyAlignment="1">
      <alignment horizontal="center" vertical="center"/>
    </xf>
    <xf numFmtId="0" fontId="11" fillId="12" borderId="0" xfId="0" applyFont="1" applyFill="1" applyAlignment="1">
      <alignment vertical="center"/>
    </xf>
    <xf numFmtId="0" fontId="1" fillId="12" borderId="0" xfId="0" applyFont="1" applyFill="1" applyAlignment="1">
      <alignment vertical="center"/>
    </xf>
    <xf numFmtId="0" fontId="1" fillId="12" borderId="0" xfId="0" applyFont="1" applyFill="1" applyAlignment="1">
      <alignment horizontal="center" vertical="center"/>
    </xf>
    <xf numFmtId="0" fontId="45" fillId="0" borderId="0" xfId="6" applyAlignment="1">
      <alignment horizontal="center" vertical="center" wrapText="1"/>
    </xf>
    <xf numFmtId="4" fontId="1" fillId="12" borderId="0" xfId="0" applyNumberFormat="1" applyFont="1" applyFill="1" applyAlignment="1">
      <alignment horizontal="center" vertical="center"/>
    </xf>
    <xf numFmtId="0" fontId="46" fillId="0" borderId="0" xfId="6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vertical="center"/>
    </xf>
    <xf numFmtId="170" fontId="0" fillId="2" borderId="6" xfId="0" applyNumberFormat="1" applyFill="1" applyBorder="1" applyAlignment="1">
      <alignment vertical="center"/>
    </xf>
    <xf numFmtId="0" fontId="48" fillId="0" borderId="0" xfId="0" applyFont="1" applyAlignment="1">
      <alignment vertical="center"/>
    </xf>
    <xf numFmtId="0" fontId="49" fillId="0" borderId="0" xfId="0" applyFont="1"/>
    <xf numFmtId="0" fontId="48" fillId="0" borderId="0" xfId="0" applyFont="1"/>
    <xf numFmtId="0" fontId="49" fillId="0" borderId="0" xfId="0" applyFont="1" applyAlignment="1">
      <alignment horizontal="left" vertical="center"/>
    </xf>
    <xf numFmtId="0" fontId="49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4" fontId="15" fillId="0" borderId="5" xfId="0" applyNumberFormat="1" applyFont="1" applyFill="1" applyBorder="1" applyAlignment="1">
      <alignment vertical="center"/>
    </xf>
    <xf numFmtId="4" fontId="15" fillId="0" borderId="6" xfId="0" applyNumberFormat="1" applyFont="1" applyFill="1" applyBorder="1" applyAlignment="1">
      <alignment vertical="center"/>
    </xf>
    <xf numFmtId="0" fontId="15" fillId="0" borderId="4" xfId="0" applyFont="1" applyFill="1" applyBorder="1" applyAlignment="1">
      <alignment vertical="center"/>
    </xf>
    <xf numFmtId="10" fontId="15" fillId="0" borderId="5" xfId="0" applyNumberFormat="1" applyFont="1" applyFill="1" applyBorder="1" applyAlignment="1">
      <alignment horizontal="center" vertical="center"/>
    </xf>
    <xf numFmtId="10" fontId="15" fillId="0" borderId="5" xfId="1" applyNumberFormat="1" applyFont="1" applyFill="1" applyBorder="1" applyAlignment="1">
      <alignment horizontal="center" vertical="center"/>
    </xf>
    <xf numFmtId="0" fontId="15" fillId="0" borderId="0" xfId="0" applyFont="1" applyFill="1" applyBorder="1"/>
    <xf numFmtId="0" fontId="14" fillId="0" borderId="0" xfId="0" applyFont="1" applyFill="1" applyBorder="1"/>
    <xf numFmtId="0" fontId="16" fillId="0" borderId="0" xfId="0" applyFont="1" applyFill="1" applyBorder="1"/>
    <xf numFmtId="10" fontId="14" fillId="0" borderId="8" xfId="0" applyNumberFormat="1" applyFont="1" applyFill="1" applyBorder="1" applyAlignment="1">
      <alignment horizontal="center" vertical="center"/>
    </xf>
    <xf numFmtId="10" fontId="14" fillId="0" borderId="0" xfId="0" applyNumberFormat="1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vertical="center"/>
    </xf>
    <xf numFmtId="10" fontId="14" fillId="0" borderId="14" xfId="0" applyNumberFormat="1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vertical="center"/>
    </xf>
    <xf numFmtId="167" fontId="4" fillId="0" borderId="13" xfId="0" applyNumberFormat="1" applyFont="1" applyFill="1" applyBorder="1" applyAlignment="1">
      <alignment horizontal="center" vertical="center"/>
    </xf>
    <xf numFmtId="167" fontId="4" fillId="0" borderId="11" xfId="0" applyNumberFormat="1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vertical="center"/>
    </xf>
    <xf numFmtId="167" fontId="4" fillId="0" borderId="95" xfId="0" applyNumberFormat="1" applyFont="1" applyFill="1" applyBorder="1" applyAlignment="1">
      <alignment horizontal="center" vertical="center"/>
    </xf>
    <xf numFmtId="167" fontId="4" fillId="0" borderId="29" xfId="0" applyNumberFormat="1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167" fontId="4" fillId="0" borderId="30" xfId="0" applyNumberFormat="1" applyFont="1" applyFill="1" applyBorder="1" applyAlignment="1">
      <alignment horizontal="center" vertical="center"/>
    </xf>
    <xf numFmtId="167" fontId="4" fillId="0" borderId="44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3" fontId="0" fillId="0" borderId="32" xfId="0" applyNumberFormat="1" applyBorder="1" applyAlignment="1">
      <alignment horizontal="center" vertical="center"/>
    </xf>
    <xf numFmtId="0" fontId="0" fillId="0" borderId="96" xfId="0" applyBorder="1" applyAlignment="1">
      <alignment vertical="center"/>
    </xf>
    <xf numFmtId="167" fontId="0" fillId="0" borderId="97" xfId="0" applyNumberFormat="1" applyBorder="1" applyAlignment="1">
      <alignment horizontal="center" vertical="center"/>
    </xf>
    <xf numFmtId="3" fontId="0" fillId="0" borderId="97" xfId="0" applyNumberFormat="1" applyBorder="1" applyAlignment="1">
      <alignment horizontal="center" vertical="center"/>
    </xf>
    <xf numFmtId="185" fontId="18" fillId="0" borderId="0" xfId="0" applyNumberFormat="1" applyFont="1" applyFill="1" applyBorder="1" applyAlignment="1">
      <alignment horizontal="center" vertical="center"/>
    </xf>
    <xf numFmtId="187" fontId="18" fillId="0" borderId="0" xfId="0" applyNumberFormat="1" applyFont="1" applyFill="1" applyBorder="1" applyAlignment="1">
      <alignment horizontal="center" vertical="center"/>
    </xf>
    <xf numFmtId="187" fontId="18" fillId="0" borderId="14" xfId="0" applyNumberFormat="1" applyFont="1" applyFill="1" applyBorder="1" applyAlignment="1">
      <alignment horizontal="center" vertical="center"/>
    </xf>
    <xf numFmtId="188" fontId="18" fillId="0" borderId="0" xfId="0" applyNumberFormat="1" applyFont="1" applyFill="1" applyBorder="1" applyAlignment="1">
      <alignment horizontal="center" vertical="center"/>
    </xf>
    <xf numFmtId="188" fontId="18" fillId="0" borderId="14" xfId="0" applyNumberFormat="1" applyFont="1" applyFill="1" applyBorder="1" applyAlignment="1">
      <alignment horizontal="center" vertical="center"/>
    </xf>
    <xf numFmtId="189" fontId="18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44" fontId="17" fillId="0" borderId="0" xfId="0" applyNumberFormat="1" applyFont="1" applyFill="1" applyBorder="1" applyAlignment="1">
      <alignment horizontal="center" vertical="center"/>
    </xf>
    <xf numFmtId="10" fontId="14" fillId="0" borderId="0" xfId="1" applyNumberFormat="1" applyFont="1" applyFill="1" applyBorder="1" applyAlignment="1">
      <alignment horizontal="center" vertical="center"/>
    </xf>
    <xf numFmtId="44" fontId="17" fillId="0" borderId="14" xfId="0" applyNumberFormat="1" applyFont="1" applyFill="1" applyBorder="1" applyAlignment="1">
      <alignment horizontal="center" vertical="center"/>
    </xf>
    <xf numFmtId="4" fontId="14" fillId="0" borderId="14" xfId="1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4" fontId="15" fillId="0" borderId="0" xfId="0" applyNumberFormat="1" applyFont="1" applyFill="1" applyAlignment="1">
      <alignment vertical="center"/>
    </xf>
    <xf numFmtId="171" fontId="18" fillId="0" borderId="12" xfId="0" applyNumberFormat="1" applyFont="1" applyFill="1" applyBorder="1" applyAlignment="1">
      <alignment vertical="center"/>
    </xf>
    <xf numFmtId="0" fontId="14" fillId="0" borderId="7" xfId="0" applyFont="1" applyFill="1" applyBorder="1" applyAlignment="1">
      <alignment horizontal="left" vertical="center"/>
    </xf>
    <xf numFmtId="10" fontId="18" fillId="0" borderId="9" xfId="1" applyNumberFormat="1" applyFont="1" applyFill="1" applyBorder="1" applyAlignment="1">
      <alignment vertical="center"/>
    </xf>
    <xf numFmtId="0" fontId="14" fillId="0" borderId="16" xfId="0" applyFont="1" applyFill="1" applyBorder="1" applyAlignment="1">
      <alignment horizontal="left" vertical="center"/>
    </xf>
    <xf numFmtId="10" fontId="18" fillId="0" borderId="15" xfId="1" applyNumberFormat="1" applyFont="1" applyFill="1" applyBorder="1" applyAlignment="1">
      <alignment vertical="center"/>
    </xf>
    <xf numFmtId="43" fontId="18" fillId="0" borderId="15" xfId="2" applyFont="1" applyFill="1" applyBorder="1" applyAlignment="1">
      <alignment vertical="center"/>
    </xf>
    <xf numFmtId="10" fontId="18" fillId="0" borderId="12" xfId="1" applyNumberFormat="1" applyFont="1" applyFill="1" applyBorder="1" applyAlignment="1">
      <alignment vertical="center"/>
    </xf>
    <xf numFmtId="0" fontId="14" fillId="0" borderId="13" xfId="0" applyFont="1" applyFill="1" applyBorder="1" applyAlignment="1">
      <alignment horizontal="left" vertical="center"/>
    </xf>
    <xf numFmtId="169" fontId="18" fillId="0" borderId="12" xfId="2" applyNumberFormat="1" applyFont="1" applyFill="1" applyBorder="1" applyAlignment="1">
      <alignment vertical="center"/>
    </xf>
    <xf numFmtId="169" fontId="17" fillId="0" borderId="9" xfId="1" applyNumberFormat="1" applyFont="1" applyFill="1" applyBorder="1" applyAlignment="1">
      <alignment vertical="center"/>
    </xf>
    <xf numFmtId="169" fontId="17" fillId="0" borderId="15" xfId="1" applyNumberFormat="1" applyFont="1" applyFill="1" applyBorder="1" applyAlignment="1">
      <alignment vertical="center"/>
    </xf>
    <xf numFmtId="3" fontId="18" fillId="0" borderId="15" xfId="1" applyNumberFormat="1" applyFont="1" applyFill="1" applyBorder="1" applyAlignment="1">
      <alignment vertical="center"/>
    </xf>
    <xf numFmtId="3" fontId="17" fillId="0" borderId="15" xfId="1" applyNumberFormat="1" applyFont="1" applyFill="1" applyBorder="1" applyAlignment="1">
      <alignment vertical="center"/>
    </xf>
    <xf numFmtId="173" fontId="14" fillId="0" borderId="0" xfId="0" applyNumberFormat="1" applyFont="1" applyFill="1" applyAlignment="1">
      <alignment vertical="center"/>
    </xf>
    <xf numFmtId="0" fontId="14" fillId="0" borderId="0" xfId="0" applyFont="1" applyFill="1" applyAlignment="1">
      <alignment vertical="center" wrapText="1"/>
    </xf>
    <xf numFmtId="0" fontId="15" fillId="0" borderId="7" xfId="0" applyFont="1" applyFill="1" applyBorder="1" applyAlignment="1">
      <alignment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4" fontId="14" fillId="0" borderId="0" xfId="0" applyNumberFormat="1" applyFont="1" applyFill="1" applyBorder="1" applyAlignment="1">
      <alignment horizontal="center" vertical="center"/>
    </xf>
    <xf numFmtId="4" fontId="14" fillId="0" borderId="14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vertical="center"/>
    </xf>
    <xf numFmtId="173" fontId="18" fillId="0" borderId="15" xfId="2" applyNumberFormat="1" applyFont="1" applyFill="1" applyBorder="1" applyAlignment="1">
      <alignment horizontal="center" vertical="center"/>
    </xf>
    <xf numFmtId="173" fontId="18" fillId="0" borderId="12" xfId="2" applyNumberFormat="1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left" vertical="center" indent="1"/>
    </xf>
    <xf numFmtId="0" fontId="14" fillId="0" borderId="13" xfId="0" applyFont="1" applyFill="1" applyBorder="1" applyAlignment="1">
      <alignment horizontal="left" vertical="center" indent="1"/>
    </xf>
    <xf numFmtId="0" fontId="15" fillId="0" borderId="98" xfId="0" applyFont="1" applyFill="1" applyBorder="1" applyAlignment="1">
      <alignment vertical="center"/>
    </xf>
    <xf numFmtId="0" fontId="14" fillId="0" borderId="71" xfId="0" applyFont="1" applyFill="1" applyBorder="1" applyAlignment="1">
      <alignment vertical="center"/>
    </xf>
    <xf numFmtId="0" fontId="14" fillId="0" borderId="71" xfId="0" applyFont="1" applyFill="1" applyBorder="1" applyAlignment="1">
      <alignment horizontal="center" vertical="center"/>
    </xf>
    <xf numFmtId="0" fontId="14" fillId="0" borderId="99" xfId="0" applyFont="1" applyFill="1" applyBorder="1" applyAlignment="1">
      <alignment vertical="center"/>
    </xf>
    <xf numFmtId="186" fontId="18" fillId="0" borderId="0" xfId="0" applyNumberFormat="1" applyFont="1" applyFill="1" applyBorder="1" applyAlignment="1">
      <alignment horizontal="center" vertical="center"/>
    </xf>
    <xf numFmtId="190" fontId="18" fillId="0" borderId="0" xfId="0" applyNumberFormat="1" applyFont="1" applyFill="1" applyBorder="1" applyAlignment="1">
      <alignment horizontal="center" vertical="center"/>
    </xf>
    <xf numFmtId="0" fontId="17" fillId="0" borderId="8" xfId="0" applyNumberFormat="1" applyFont="1" applyFill="1" applyBorder="1" applyAlignment="1">
      <alignment horizontal="center" vertical="center"/>
    </xf>
    <xf numFmtId="43" fontId="18" fillId="0" borderId="9" xfId="0" applyNumberFormat="1" applyFont="1" applyFill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6" xfId="0" applyFont="1" applyFill="1" applyBorder="1" applyAlignment="1">
      <alignment vertical="center"/>
    </xf>
    <xf numFmtId="44" fontId="17" fillId="0" borderId="8" xfId="0" applyNumberFormat="1" applyFont="1" applyFill="1" applyBorder="1" applyAlignment="1">
      <alignment horizontal="center" vertical="center"/>
    </xf>
    <xf numFmtId="10" fontId="18" fillId="0" borderId="8" xfId="1" applyNumberFormat="1" applyFont="1" applyFill="1" applyBorder="1" applyAlignment="1">
      <alignment horizontal="center" vertical="center"/>
    </xf>
    <xf numFmtId="169" fontId="17" fillId="0" borderId="9" xfId="0" applyNumberFormat="1" applyFont="1" applyFill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169" fontId="14" fillId="0" borderId="15" xfId="0" applyNumberFormat="1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5" fillId="11" borderId="45" xfId="0" applyFont="1" applyFill="1" applyBorder="1" applyAlignment="1">
      <alignment vertical="center"/>
    </xf>
    <xf numFmtId="0" fontId="4" fillId="11" borderId="46" xfId="0" applyFont="1" applyFill="1" applyBorder="1" applyAlignment="1">
      <alignment horizontal="center" vertical="center"/>
    </xf>
    <xf numFmtId="0" fontId="4" fillId="11" borderId="47" xfId="0" applyFont="1" applyFill="1" applyBorder="1" applyAlignment="1">
      <alignment horizontal="center" vertical="center"/>
    </xf>
    <xf numFmtId="167" fontId="0" fillId="0" borderId="100" xfId="0" applyNumberFormat="1" applyBorder="1" applyAlignment="1">
      <alignment horizontal="center" vertical="center"/>
    </xf>
    <xf numFmtId="3" fontId="0" fillId="0" borderId="100" xfId="0" applyNumberFormat="1" applyBorder="1" applyAlignment="1">
      <alignment horizontal="center" vertical="center"/>
    </xf>
    <xf numFmtId="3" fontId="0" fillId="0" borderId="33" xfId="0" applyNumberFormat="1" applyBorder="1" applyAlignment="1">
      <alignment horizontal="center" vertical="center"/>
    </xf>
    <xf numFmtId="3" fontId="0" fillId="0" borderId="38" xfId="0" applyNumberFormat="1" applyBorder="1" applyAlignment="1">
      <alignment horizontal="center" vertical="center"/>
    </xf>
    <xf numFmtId="3" fontId="0" fillId="0" borderId="39" xfId="0" applyNumberFormat="1" applyBorder="1" applyAlignment="1">
      <alignment horizontal="center" vertical="center"/>
    </xf>
    <xf numFmtId="0" fontId="3" fillId="8" borderId="40" xfId="0" applyFont="1" applyFill="1" applyBorder="1" applyAlignment="1">
      <alignment vertical="center"/>
    </xf>
    <xf numFmtId="0" fontId="10" fillId="8" borderId="5" xfId="0" applyFont="1" applyFill="1" applyBorder="1" applyAlignment="1">
      <alignment horizontal="center" vertical="center"/>
    </xf>
    <xf numFmtId="43" fontId="14" fillId="0" borderId="0" xfId="0" applyNumberFormat="1" applyFont="1" applyFill="1" applyAlignment="1">
      <alignment horizontal="left" indent="1"/>
    </xf>
    <xf numFmtId="7" fontId="44" fillId="2" borderId="0" xfId="3" applyNumberFormat="1" applyFont="1" applyFill="1" applyBorder="1" applyAlignment="1">
      <alignment horizontal="left" vertical="center"/>
    </xf>
    <xf numFmtId="7" fontId="44" fillId="0" borderId="0" xfId="3" applyNumberFormat="1" applyFont="1" applyFill="1" applyBorder="1" applyAlignment="1">
      <alignment horizontal="left" vertical="center"/>
    </xf>
    <xf numFmtId="3" fontId="30" fillId="0" borderId="0" xfId="3" applyNumberFormat="1" applyFont="1" applyFill="1" applyBorder="1" applyAlignment="1">
      <alignment horizontal="left" vertical="top"/>
    </xf>
    <xf numFmtId="184" fontId="14" fillId="0" borderId="9" xfId="0" applyNumberFormat="1" applyFont="1" applyFill="1" applyBorder="1" applyAlignment="1">
      <alignment horizontal="left" vertical="center"/>
    </xf>
    <xf numFmtId="0" fontId="14" fillId="0" borderId="15" xfId="0" applyFont="1" applyFill="1" applyBorder="1" applyAlignment="1">
      <alignment horizontal="left" vertical="center"/>
    </xf>
    <xf numFmtId="0" fontId="14" fillId="0" borderId="12" xfId="0" applyFont="1" applyFill="1" applyBorder="1" applyAlignment="1">
      <alignment horizontal="left" vertical="center"/>
    </xf>
    <xf numFmtId="9" fontId="14" fillId="0" borderId="8" xfId="1" applyFont="1" applyFill="1" applyBorder="1" applyAlignment="1">
      <alignment horizontal="right" vertical="center"/>
    </xf>
    <xf numFmtId="9" fontId="14" fillId="0" borderId="0" xfId="1" applyFont="1" applyFill="1" applyBorder="1" applyAlignment="1">
      <alignment horizontal="right" vertical="center"/>
    </xf>
    <xf numFmtId="9" fontId="14" fillId="0" borderId="14" xfId="1" applyFont="1" applyFill="1" applyBorder="1" applyAlignment="1">
      <alignment horizontal="right" vertical="center"/>
    </xf>
    <xf numFmtId="0" fontId="16" fillId="0" borderId="0" xfId="0" applyFont="1" applyFill="1" applyAlignment="1">
      <alignment vertical="center"/>
    </xf>
    <xf numFmtId="44" fontId="0" fillId="0" borderId="8" xfId="0" applyNumberFormat="1" applyBorder="1" applyAlignment="1">
      <alignment vertical="center"/>
    </xf>
    <xf numFmtId="0" fontId="4" fillId="6" borderId="4" xfId="0" applyFont="1" applyFill="1" applyBorder="1" applyAlignment="1">
      <alignment vertical="center"/>
    </xf>
    <xf numFmtId="0" fontId="4" fillId="6" borderId="5" xfId="0" applyFont="1" applyFill="1" applyBorder="1" applyAlignment="1">
      <alignment vertical="center"/>
    </xf>
    <xf numFmtId="43" fontId="0" fillId="0" borderId="0" xfId="2" applyFont="1" applyAlignment="1">
      <alignment horizontal="center" vertical="center"/>
    </xf>
    <xf numFmtId="43" fontId="0" fillId="0" borderId="0" xfId="2" applyFont="1" applyAlignment="1">
      <alignment vertical="center"/>
    </xf>
    <xf numFmtId="43" fontId="16" fillId="0" borderId="0" xfId="2" applyFont="1" applyFill="1" applyAlignment="1">
      <alignment vertical="center"/>
    </xf>
    <xf numFmtId="191" fontId="18" fillId="0" borderId="0" xfId="2" applyNumberFormat="1" applyFont="1" applyFill="1" applyBorder="1" applyAlignment="1">
      <alignment horizontal="center" vertical="center"/>
    </xf>
    <xf numFmtId="191" fontId="18" fillId="0" borderId="14" xfId="2" applyNumberFormat="1" applyFont="1" applyFill="1" applyBorder="1" applyAlignment="1">
      <alignment horizontal="center" vertical="center"/>
    </xf>
    <xf numFmtId="4" fontId="0" fillId="0" borderId="97" xfId="0" applyNumberFormat="1" applyBorder="1" applyAlignment="1">
      <alignment horizontal="center" vertical="center"/>
    </xf>
    <xf numFmtId="4" fontId="0" fillId="0" borderId="100" xfId="0" applyNumberFormat="1" applyBorder="1" applyAlignment="1">
      <alignment horizontal="center" vertical="center"/>
    </xf>
    <xf numFmtId="192" fontId="3" fillId="8" borderId="94" xfId="0" applyNumberFormat="1" applyFont="1" applyFill="1" applyBorder="1" applyAlignment="1">
      <alignment horizontal="center" vertical="center"/>
    </xf>
    <xf numFmtId="192" fontId="3" fillId="8" borderId="26" xfId="0" applyNumberFormat="1" applyFont="1" applyFill="1" applyBorder="1" applyAlignment="1">
      <alignment horizontal="center" vertical="center"/>
    </xf>
    <xf numFmtId="3" fontId="18" fillId="0" borderId="15" xfId="1" applyNumberFormat="1" applyFont="1" applyFill="1" applyBorder="1" applyAlignment="1">
      <alignment horizontal="center" vertical="center"/>
    </xf>
    <xf numFmtId="3" fontId="14" fillId="0" borderId="99" xfId="0" applyNumberFormat="1" applyFont="1" applyFill="1" applyBorder="1" applyAlignment="1">
      <alignment vertical="center"/>
    </xf>
    <xf numFmtId="3" fontId="18" fillId="0" borderId="12" xfId="1" applyNumberFormat="1" applyFont="1" applyFill="1" applyBorder="1" applyAlignment="1">
      <alignment horizontal="center" vertical="center"/>
    </xf>
    <xf numFmtId="44" fontId="1" fillId="2" borderId="15" xfId="0" applyNumberFormat="1" applyFont="1" applyFill="1" applyBorder="1" applyAlignment="1">
      <alignment horizontal="center" vertical="center"/>
    </xf>
    <xf numFmtId="10" fontId="1" fillId="2" borderId="9" xfId="1" applyNumberFormat="1" applyFont="1" applyFill="1" applyBorder="1" applyAlignment="1">
      <alignment horizontal="center" vertical="center"/>
    </xf>
    <xf numFmtId="10" fontId="1" fillId="2" borderId="101" xfId="1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" fontId="0" fillId="0" borderId="0" xfId="0" applyNumberFormat="1" applyFont="1" applyFill="1" applyAlignment="1">
      <alignment horizontal="center" vertical="center"/>
    </xf>
    <xf numFmtId="9" fontId="0" fillId="0" borderId="0" xfId="1" applyFont="1" applyFill="1" applyAlignment="1">
      <alignment horizontal="center" vertical="center"/>
    </xf>
    <xf numFmtId="44" fontId="0" fillId="0" borderId="0" xfId="0" applyNumberFormat="1" applyFont="1" applyFill="1" applyAlignment="1">
      <alignment horizontal="center" vertical="center"/>
    </xf>
    <xf numFmtId="44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horizontal="center" vertical="center" wrapText="1"/>
    </xf>
    <xf numFmtId="181" fontId="30" fillId="0" borderId="0" xfId="3" applyNumberFormat="1" applyFont="1" applyFill="1" applyBorder="1" applyAlignment="1">
      <alignment horizontal="left" vertical="center"/>
    </xf>
    <xf numFmtId="169" fontId="14" fillId="0" borderId="0" xfId="0" applyNumberFormat="1" applyFont="1" applyFill="1" applyAlignment="1">
      <alignment vertical="center"/>
    </xf>
    <xf numFmtId="44" fontId="1" fillId="2" borderId="16" xfId="0" applyNumberFormat="1" applyFont="1" applyFill="1" applyBorder="1" applyAlignment="1">
      <alignment horizontal="center" vertical="center"/>
    </xf>
    <xf numFmtId="10" fontId="1" fillId="2" borderId="7" xfId="1" applyNumberFormat="1" applyFont="1" applyFill="1" applyBorder="1" applyAlignment="1">
      <alignment horizontal="center" vertical="center"/>
    </xf>
    <xf numFmtId="10" fontId="1" fillId="2" borderId="102" xfId="1" applyNumberFormat="1" applyFont="1" applyFill="1" applyBorder="1" applyAlignment="1">
      <alignment horizontal="center" vertical="center"/>
    </xf>
    <xf numFmtId="43" fontId="18" fillId="0" borderId="15" xfId="0" quotePrefix="1" applyNumberFormat="1" applyFont="1" applyFill="1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54" xfId="0" applyBorder="1" applyAlignment="1">
      <alignment vertical="center"/>
    </xf>
    <xf numFmtId="44" fontId="0" fillId="0" borderId="10" xfId="0" applyNumberFormat="1" applyBorder="1" applyAlignment="1">
      <alignment horizontal="center" vertical="center"/>
    </xf>
    <xf numFmtId="44" fontId="0" fillId="0" borderId="11" xfId="0" applyNumberFormat="1" applyBorder="1" applyAlignment="1">
      <alignment horizontal="center" vertical="center"/>
    </xf>
    <xf numFmtId="0" fontId="0" fillId="0" borderId="22" xfId="0" applyBorder="1" applyAlignment="1">
      <alignment vertical="center"/>
    </xf>
    <xf numFmtId="44" fontId="0" fillId="0" borderId="10" xfId="0" applyNumberFormat="1" applyFont="1" applyBorder="1" applyAlignment="1">
      <alignment horizontal="center" vertical="center"/>
    </xf>
    <xf numFmtId="44" fontId="0" fillId="0" borderId="11" xfId="0" applyNumberFormat="1" applyFont="1" applyBorder="1" applyAlignment="1">
      <alignment horizontal="center" vertical="center"/>
    </xf>
    <xf numFmtId="0" fontId="0" fillId="0" borderId="53" xfId="0" applyBorder="1" applyAlignment="1">
      <alignment vertical="center" wrapText="1"/>
    </xf>
    <xf numFmtId="0" fontId="0" fillId="0" borderId="54" xfId="0" applyBorder="1" applyAlignment="1">
      <alignment vertical="center" wrapText="1"/>
    </xf>
    <xf numFmtId="0" fontId="0" fillId="0" borderId="40" xfId="0" applyBorder="1" applyAlignment="1">
      <alignment vertical="center"/>
    </xf>
    <xf numFmtId="0" fontId="0" fillId="0" borderId="22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14" fillId="0" borderId="0" xfId="0" applyFont="1" applyFill="1" applyAlignment="1">
      <alignment horizontal="left" vertical="center" wrapText="1"/>
    </xf>
    <xf numFmtId="0" fontId="47" fillId="0" borderId="0" xfId="0" applyFont="1" applyAlignment="1">
      <alignment horizontal="left" vertical="center"/>
    </xf>
    <xf numFmtId="0" fontId="14" fillId="0" borderId="13" xfId="0" applyFont="1" applyFill="1" applyBorder="1" applyAlignment="1">
      <alignment horizontal="left"/>
    </xf>
    <xf numFmtId="0" fontId="14" fillId="0" borderId="14" xfId="0" applyFont="1" applyFill="1" applyBorder="1" applyAlignment="1">
      <alignment horizontal="left"/>
    </xf>
    <xf numFmtId="10" fontId="14" fillId="0" borderId="14" xfId="0" applyNumberFormat="1" applyFont="1" applyFill="1" applyBorder="1" applyAlignment="1">
      <alignment horizontal="right"/>
    </xf>
    <xf numFmtId="10" fontId="14" fillId="0" borderId="12" xfId="0" applyNumberFormat="1" applyFont="1" applyFill="1" applyBorder="1" applyAlignment="1">
      <alignment horizontal="right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/>
    </xf>
    <xf numFmtId="0" fontId="14" fillId="0" borderId="8" xfId="0" applyFont="1" applyFill="1" applyBorder="1" applyAlignment="1">
      <alignment horizontal="left"/>
    </xf>
    <xf numFmtId="43" fontId="14" fillId="0" borderId="8" xfId="0" applyNumberFormat="1" applyFont="1" applyFill="1" applyBorder="1" applyAlignment="1">
      <alignment horizontal="left"/>
    </xf>
    <xf numFmtId="0" fontId="14" fillId="0" borderId="9" xfId="0" applyFont="1" applyFill="1" applyBorder="1" applyAlignment="1">
      <alignment horizontal="left"/>
    </xf>
    <xf numFmtId="0" fontId="14" fillId="0" borderId="16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43" fontId="14" fillId="0" borderId="0" xfId="0" applyNumberFormat="1" applyFont="1" applyFill="1" applyBorder="1" applyAlignment="1">
      <alignment horizontal="left"/>
    </xf>
    <xf numFmtId="0" fontId="14" fillId="0" borderId="15" xfId="0" applyFont="1" applyFill="1" applyBorder="1" applyAlignment="1">
      <alignment horizontal="left"/>
    </xf>
    <xf numFmtId="0" fontId="15" fillId="0" borderId="7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29" fillId="9" borderId="65" xfId="3" applyFont="1" applyFill="1" applyBorder="1" applyAlignment="1">
      <alignment horizontal="left" vertical="center"/>
    </xf>
    <xf numFmtId="9" fontId="29" fillId="9" borderId="65" xfId="5" applyNumberFormat="1" applyFont="1" applyFill="1" applyBorder="1" applyAlignment="1">
      <alignment horizontal="center" vertical="center"/>
    </xf>
    <xf numFmtId="9" fontId="29" fillId="9" borderId="65" xfId="5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horizontal="left" vertical="center"/>
    </xf>
    <xf numFmtId="0" fontId="21" fillId="0" borderId="0" xfId="3" applyFont="1" applyFill="1" applyBorder="1" applyAlignment="1">
      <alignment horizontal="left" vertical="center"/>
    </xf>
    <xf numFmtId="0" fontId="29" fillId="0" borderId="65" xfId="3" applyFont="1" applyFill="1" applyBorder="1" applyAlignment="1">
      <alignment horizontal="left" vertical="center"/>
    </xf>
    <xf numFmtId="4" fontId="29" fillId="0" borderId="65" xfId="3" applyNumberFormat="1" applyFont="1" applyFill="1" applyBorder="1" applyAlignment="1">
      <alignment horizontal="center" vertical="center"/>
    </xf>
    <xf numFmtId="3" fontId="29" fillId="9" borderId="65" xfId="3" applyNumberFormat="1" applyFont="1" applyFill="1" applyBorder="1" applyAlignment="1">
      <alignment horizontal="center" vertical="center"/>
    </xf>
    <xf numFmtId="10" fontId="29" fillId="9" borderId="65" xfId="5" applyNumberFormat="1" applyFont="1" applyFill="1" applyBorder="1" applyAlignment="1">
      <alignment horizontal="center" vertical="center"/>
    </xf>
    <xf numFmtId="4" fontId="29" fillId="9" borderId="65" xfId="3" applyNumberFormat="1" applyFont="1" applyFill="1" applyBorder="1" applyAlignment="1">
      <alignment horizontal="center" vertical="center"/>
    </xf>
    <xf numFmtId="0" fontId="31" fillId="8" borderId="0" xfId="3" applyFont="1" applyFill="1" applyBorder="1" applyAlignment="1">
      <alignment horizontal="center" vertical="center" textRotation="90"/>
    </xf>
    <xf numFmtId="0" fontId="5" fillId="9" borderId="65" xfId="3" applyFont="1" applyFill="1" applyBorder="1" applyAlignment="1">
      <alignment horizontal="center" vertical="center"/>
    </xf>
    <xf numFmtId="0" fontId="29" fillId="9" borderId="65" xfId="3" applyFont="1" applyFill="1" applyBorder="1" applyAlignment="1">
      <alignment horizontal="center" vertical="center"/>
    </xf>
    <xf numFmtId="0" fontId="25" fillId="0" borderId="65" xfId="3" applyFont="1" applyFill="1" applyBorder="1" applyAlignment="1">
      <alignment horizontal="center" vertical="center"/>
    </xf>
    <xf numFmtId="0" fontId="26" fillId="0" borderId="65" xfId="3" applyFont="1" applyFill="1" applyBorder="1" applyAlignment="1">
      <alignment horizontal="center" vertical="center"/>
    </xf>
    <xf numFmtId="0" fontId="27" fillId="0" borderId="65" xfId="3" applyFont="1" applyFill="1" applyBorder="1" applyAlignment="1">
      <alignment horizontal="left" vertical="center"/>
    </xf>
    <xf numFmtId="0" fontId="28" fillId="0" borderId="65" xfId="3" applyFont="1" applyFill="1" applyBorder="1" applyAlignment="1">
      <alignment horizontal="center" vertical="center"/>
    </xf>
    <xf numFmtId="177" fontId="27" fillId="0" borderId="25" xfId="3" applyNumberFormat="1" applyFont="1" applyFill="1" applyBorder="1" applyAlignment="1">
      <alignment horizontal="center" vertical="center" wrapText="1"/>
    </xf>
    <xf numFmtId="0" fontId="29" fillId="9" borderId="25" xfId="3" applyFont="1" applyFill="1" applyBorder="1" applyAlignment="1">
      <alignment horizontal="left" vertical="center"/>
    </xf>
    <xf numFmtId="0" fontId="29" fillId="0" borderId="25" xfId="3" applyFont="1" applyFill="1" applyBorder="1" applyAlignment="1">
      <alignment horizontal="left" vertical="center"/>
    </xf>
    <xf numFmtId="4" fontId="29" fillId="0" borderId="25" xfId="3" applyNumberFormat="1" applyFont="1" applyFill="1" applyBorder="1" applyAlignment="1">
      <alignment horizontal="center" vertical="center"/>
    </xf>
    <xf numFmtId="0" fontId="5" fillId="0" borderId="25" xfId="3" applyFont="1" applyFill="1" applyBorder="1" applyAlignment="1">
      <alignment horizontal="center" vertical="center"/>
    </xf>
    <xf numFmtId="0" fontId="29" fillId="0" borderId="25" xfId="3" applyFont="1" applyFill="1" applyBorder="1" applyAlignment="1">
      <alignment horizontal="center" vertical="center"/>
    </xf>
    <xf numFmtId="10" fontId="29" fillId="9" borderId="25" xfId="5" applyNumberFormat="1" applyFont="1" applyFill="1" applyBorder="1" applyAlignment="1">
      <alignment horizontal="center" vertical="center"/>
    </xf>
    <xf numFmtId="2" fontId="29" fillId="0" borderId="25" xfId="3" applyNumberFormat="1" applyFont="1" applyFill="1" applyBorder="1" applyAlignment="1">
      <alignment horizontal="center" vertical="center"/>
    </xf>
    <xf numFmtId="4" fontId="29" fillId="9" borderId="25" xfId="3" applyNumberFormat="1" applyFont="1" applyFill="1" applyBorder="1" applyAlignment="1">
      <alignment horizontal="center" vertical="center"/>
    </xf>
    <xf numFmtId="0" fontId="5" fillId="9" borderId="25" xfId="3" applyFont="1" applyFill="1" applyBorder="1" applyAlignment="1">
      <alignment horizontal="center" vertical="center"/>
    </xf>
    <xf numFmtId="0" fontId="29" fillId="9" borderId="25" xfId="3" applyFont="1" applyFill="1" applyBorder="1" applyAlignment="1">
      <alignment horizontal="center" vertical="center"/>
    </xf>
    <xf numFmtId="0" fontId="26" fillId="0" borderId="25" xfId="3" applyFont="1" applyFill="1" applyBorder="1" applyAlignment="1">
      <alignment horizontal="center" vertical="top"/>
    </xf>
    <xf numFmtId="0" fontId="28" fillId="0" borderId="25" xfId="3" applyFont="1" applyFill="1" applyBorder="1" applyAlignment="1">
      <alignment horizontal="center" vertical="center"/>
    </xf>
    <xf numFmtId="0" fontId="5" fillId="0" borderId="65" xfId="3" applyFont="1" applyFill="1" applyBorder="1" applyAlignment="1">
      <alignment horizontal="center" vertical="center"/>
    </xf>
    <xf numFmtId="0" fontId="29" fillId="0" borderId="65" xfId="3" applyFont="1" applyFill="1" applyBorder="1" applyAlignment="1">
      <alignment horizontal="center" vertical="center"/>
    </xf>
    <xf numFmtId="0" fontId="29" fillId="2" borderId="66" xfId="3" applyFont="1" applyFill="1" applyBorder="1" applyAlignment="1">
      <alignment horizontal="left" vertical="center"/>
    </xf>
    <xf numFmtId="0" fontId="29" fillId="2" borderId="67" xfId="3" applyFont="1" applyFill="1" applyBorder="1" applyAlignment="1">
      <alignment horizontal="left" vertical="center"/>
    </xf>
    <xf numFmtId="4" fontId="29" fillId="2" borderId="66" xfId="3" applyNumberFormat="1" applyFont="1" applyFill="1" applyBorder="1" applyAlignment="1">
      <alignment horizontal="center" vertical="center"/>
    </xf>
    <xf numFmtId="4" fontId="29" fillId="2" borderId="68" xfId="3" applyNumberFormat="1" applyFont="1" applyFill="1" applyBorder="1" applyAlignment="1">
      <alignment horizontal="center" vertical="center"/>
    </xf>
    <xf numFmtId="4" fontId="29" fillId="2" borderId="67" xfId="3" applyNumberFormat="1" applyFont="1" applyFill="1" applyBorder="1" applyAlignment="1">
      <alignment horizontal="center" vertical="center"/>
    </xf>
    <xf numFmtId="10" fontId="29" fillId="2" borderId="66" xfId="4" applyNumberFormat="1" applyFont="1" applyFill="1" applyBorder="1" applyAlignment="1">
      <alignment horizontal="center" vertical="center"/>
    </xf>
    <xf numFmtId="10" fontId="29" fillId="2" borderId="68" xfId="4" applyNumberFormat="1" applyFont="1" applyFill="1" applyBorder="1" applyAlignment="1">
      <alignment horizontal="center" vertical="center"/>
    </xf>
    <xf numFmtId="10" fontId="29" fillId="2" borderId="67" xfId="4" applyNumberFormat="1" applyFont="1" applyFill="1" applyBorder="1" applyAlignment="1">
      <alignment horizontal="center" vertical="center"/>
    </xf>
    <xf numFmtId="0" fontId="27" fillId="0" borderId="65" xfId="3" applyFont="1" applyFill="1" applyBorder="1" applyAlignment="1">
      <alignment horizontal="center" vertical="center"/>
    </xf>
    <xf numFmtId="180" fontId="27" fillId="0" borderId="65" xfId="3" applyNumberFormat="1" applyFont="1" applyFill="1" applyBorder="1" applyAlignment="1">
      <alignment horizontal="center" vertical="center"/>
    </xf>
    <xf numFmtId="180" fontId="28" fillId="0" borderId="65" xfId="3" applyNumberFormat="1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horizontal="left" vertical="top" wrapText="1"/>
    </xf>
    <xf numFmtId="0" fontId="5" fillId="0" borderId="65" xfId="3" applyFont="1" applyFill="1" applyBorder="1" applyAlignment="1">
      <alignment horizontal="left" vertical="center"/>
    </xf>
    <xf numFmtId="179" fontId="5" fillId="0" borderId="66" xfId="3" applyNumberFormat="1" applyFont="1" applyFill="1" applyBorder="1" applyAlignment="1">
      <alignment horizontal="center" vertical="center"/>
    </xf>
    <xf numFmtId="179" fontId="29" fillId="0" borderId="68" xfId="3" applyNumberFormat="1" applyFont="1" applyFill="1" applyBorder="1" applyAlignment="1">
      <alignment horizontal="center" vertical="center"/>
    </xf>
    <xf numFmtId="179" fontId="29" fillId="0" borderId="67" xfId="3" applyNumberFormat="1" applyFont="1" applyFill="1" applyBorder="1" applyAlignment="1">
      <alignment horizontal="center" vertical="center"/>
    </xf>
    <xf numFmtId="179" fontId="5" fillId="9" borderId="66" xfId="3" applyNumberFormat="1" applyFont="1" applyFill="1" applyBorder="1" applyAlignment="1">
      <alignment horizontal="center" vertical="center"/>
    </xf>
    <xf numFmtId="179" fontId="29" fillId="9" borderId="68" xfId="3" applyNumberFormat="1" applyFont="1" applyFill="1" applyBorder="1" applyAlignment="1">
      <alignment horizontal="center" vertical="center"/>
    </xf>
    <xf numFmtId="179" fontId="29" fillId="9" borderId="67" xfId="3" applyNumberFormat="1" applyFont="1" applyFill="1" applyBorder="1" applyAlignment="1">
      <alignment horizontal="center" vertical="center"/>
    </xf>
    <xf numFmtId="0" fontId="5" fillId="0" borderId="66" xfId="3" applyFont="1" applyFill="1" applyBorder="1" applyAlignment="1">
      <alignment horizontal="center" vertical="center"/>
    </xf>
    <xf numFmtId="0" fontId="5" fillId="0" borderId="68" xfId="3" applyFont="1" applyFill="1" applyBorder="1" applyAlignment="1">
      <alignment horizontal="center" vertical="center"/>
    </xf>
    <xf numFmtId="0" fontId="5" fillId="0" borderId="67" xfId="3" applyFont="1" applyFill="1" applyBorder="1" applyAlignment="1">
      <alignment horizontal="center" vertical="center"/>
    </xf>
    <xf numFmtId="0" fontId="26" fillId="0" borderId="70" xfId="3" applyFont="1" applyFill="1" applyBorder="1" applyAlignment="1">
      <alignment horizontal="center" vertical="top"/>
    </xf>
    <xf numFmtId="0" fontId="26" fillId="0" borderId="71" xfId="3" applyFont="1" applyFill="1" applyBorder="1" applyAlignment="1">
      <alignment horizontal="center" vertical="top"/>
    </xf>
    <xf numFmtId="0" fontId="26" fillId="0" borderId="72" xfId="3" applyFont="1" applyFill="1" applyBorder="1" applyAlignment="1">
      <alignment horizontal="center" vertical="top"/>
    </xf>
    <xf numFmtId="178" fontId="40" fillId="0" borderId="64" xfId="3" applyNumberFormat="1" applyFont="1" applyFill="1" applyBorder="1" applyAlignment="1">
      <alignment horizontal="left" vertical="top" wrapText="1"/>
    </xf>
    <xf numFmtId="0" fontId="28" fillId="0" borderId="91" xfId="3" applyFont="1" applyFill="1" applyBorder="1" applyAlignment="1">
      <alignment horizontal="center" vertical="center"/>
    </xf>
    <xf numFmtId="0" fontId="28" fillId="0" borderId="92" xfId="3" applyFont="1" applyFill="1" applyBorder="1" applyAlignment="1">
      <alignment horizontal="center" vertical="center"/>
    </xf>
    <xf numFmtId="0" fontId="28" fillId="0" borderId="93" xfId="3" applyFont="1" applyFill="1" applyBorder="1" applyAlignment="1">
      <alignment horizontal="center" vertical="center"/>
    </xf>
    <xf numFmtId="0" fontId="27" fillId="0" borderId="91" xfId="3" applyFont="1" applyFill="1" applyBorder="1" applyAlignment="1">
      <alignment horizontal="center" vertical="center"/>
    </xf>
    <xf numFmtId="0" fontId="27" fillId="0" borderId="92" xfId="3" applyFont="1" applyFill="1" applyBorder="1" applyAlignment="1">
      <alignment horizontal="center" vertical="center"/>
    </xf>
    <xf numFmtId="0" fontId="27" fillId="0" borderId="93" xfId="3" applyFont="1" applyFill="1" applyBorder="1" applyAlignment="1">
      <alignment horizontal="center" vertical="center"/>
    </xf>
    <xf numFmtId="0" fontId="27" fillId="0" borderId="65" xfId="3" applyFont="1" applyFill="1" applyBorder="1" applyAlignment="1">
      <alignment horizontal="center" vertical="center" wrapText="1"/>
    </xf>
    <xf numFmtId="0" fontId="43" fillId="0" borderId="65" xfId="3" applyFont="1" applyFill="1" applyBorder="1" applyAlignment="1">
      <alignment horizontal="center" vertical="center" wrapText="1"/>
    </xf>
    <xf numFmtId="0" fontId="5" fillId="9" borderId="25" xfId="3" applyFont="1" applyFill="1" applyBorder="1" applyAlignment="1">
      <alignment horizontal="left" vertical="top"/>
    </xf>
    <xf numFmtId="0" fontId="29" fillId="9" borderId="25" xfId="3" applyFont="1" applyFill="1" applyBorder="1" applyAlignment="1">
      <alignment horizontal="left" vertical="top"/>
    </xf>
    <xf numFmtId="176" fontId="29" fillId="9" borderId="76" xfId="3" applyNumberFormat="1" applyFont="1" applyFill="1" applyBorder="1" applyAlignment="1">
      <alignment horizontal="center" vertical="top"/>
    </xf>
    <xf numFmtId="176" fontId="29" fillId="9" borderId="78" xfId="3" applyNumberFormat="1" applyFont="1" applyFill="1" applyBorder="1" applyAlignment="1">
      <alignment horizontal="center" vertical="top"/>
    </xf>
    <xf numFmtId="176" fontId="29" fillId="9" borderId="52" xfId="3" applyNumberFormat="1" applyFont="1" applyFill="1" applyBorder="1" applyAlignment="1">
      <alignment horizontal="center" vertical="top"/>
    </xf>
    <xf numFmtId="0" fontId="5" fillId="0" borderId="76" xfId="3" applyFont="1" applyFill="1" applyBorder="1" applyAlignment="1">
      <alignment horizontal="center" vertical="top"/>
    </xf>
    <xf numFmtId="0" fontId="5" fillId="0" borderId="78" xfId="3" applyFont="1" applyFill="1" applyBorder="1" applyAlignment="1">
      <alignment horizontal="center" vertical="top"/>
    </xf>
    <xf numFmtId="0" fontId="5" fillId="0" borderId="52" xfId="3" applyFont="1" applyFill="1" applyBorder="1" applyAlignment="1">
      <alignment horizontal="center" vertical="top"/>
    </xf>
    <xf numFmtId="3" fontId="29" fillId="0" borderId="76" xfId="3" applyNumberFormat="1" applyFont="1" applyFill="1" applyBorder="1" applyAlignment="1">
      <alignment horizontal="center" vertical="top"/>
    </xf>
    <xf numFmtId="0" fontId="29" fillId="0" borderId="78" xfId="3" applyFont="1" applyFill="1" applyBorder="1" applyAlignment="1">
      <alignment horizontal="center" vertical="top"/>
    </xf>
    <xf numFmtId="0" fontId="5" fillId="0" borderId="25" xfId="3" applyFont="1" applyFill="1" applyBorder="1" applyAlignment="1">
      <alignment horizontal="left" vertical="top"/>
    </xf>
    <xf numFmtId="0" fontId="29" fillId="0" borderId="25" xfId="3" applyFont="1" applyFill="1" applyBorder="1" applyAlignment="1">
      <alignment horizontal="left" vertical="top"/>
    </xf>
    <xf numFmtId="3" fontId="29" fillId="9" borderId="25" xfId="3" applyNumberFormat="1" applyFont="1" applyFill="1" applyBorder="1" applyAlignment="1">
      <alignment horizontal="center" vertical="top"/>
    </xf>
    <xf numFmtId="3" fontId="29" fillId="9" borderId="25" xfId="3" applyNumberFormat="1" applyFont="1" applyFill="1" applyBorder="1" applyAlignment="1">
      <alignment horizontal="center" vertical="top" shrinkToFit="1"/>
    </xf>
    <xf numFmtId="176" fontId="29" fillId="0" borderId="76" xfId="3" applyNumberFormat="1" applyFont="1" applyFill="1" applyBorder="1" applyAlignment="1">
      <alignment horizontal="center" vertical="top"/>
    </xf>
    <xf numFmtId="176" fontId="29" fillId="0" borderId="78" xfId="3" applyNumberFormat="1" applyFont="1" applyFill="1" applyBorder="1" applyAlignment="1">
      <alignment horizontal="center" vertical="top"/>
    </xf>
    <xf numFmtId="176" fontId="29" fillId="0" borderId="52" xfId="3" applyNumberFormat="1" applyFont="1" applyFill="1" applyBorder="1" applyAlignment="1">
      <alignment horizontal="center" vertical="top"/>
    </xf>
    <xf numFmtId="0" fontId="28" fillId="0" borderId="82" xfId="3" applyFont="1" applyFill="1" applyBorder="1" applyAlignment="1">
      <alignment horizontal="center" vertical="center"/>
    </xf>
    <xf numFmtId="0" fontId="28" fillId="0" borderId="83" xfId="3" applyFont="1" applyFill="1" applyBorder="1" applyAlignment="1">
      <alignment horizontal="center" vertical="center"/>
    </xf>
    <xf numFmtId="0" fontId="28" fillId="0" borderId="84" xfId="3" applyFont="1" applyFill="1" applyBorder="1" applyAlignment="1">
      <alignment horizontal="center" vertical="center"/>
    </xf>
    <xf numFmtId="0" fontId="27" fillId="0" borderId="25" xfId="3" applyFont="1" applyFill="1" applyBorder="1" applyAlignment="1">
      <alignment horizontal="center" vertical="center"/>
    </xf>
    <xf numFmtId="4" fontId="28" fillId="0" borderId="76" xfId="3" applyNumberFormat="1" applyFont="1" applyFill="1" applyBorder="1" applyAlignment="1">
      <alignment horizontal="center" vertical="center"/>
    </xf>
    <xf numFmtId="4" fontId="28" fillId="0" borderId="52" xfId="3" applyNumberFormat="1" applyFont="1" applyFill="1" applyBorder="1" applyAlignment="1">
      <alignment horizontal="center" vertical="center"/>
    </xf>
    <xf numFmtId="0" fontId="28" fillId="0" borderId="76" xfId="3" applyFont="1" applyFill="1" applyBorder="1" applyAlignment="1">
      <alignment horizontal="center" vertical="top" wrapText="1"/>
    </xf>
    <xf numFmtId="0" fontId="28" fillId="0" borderId="78" xfId="3" applyFont="1" applyFill="1" applyBorder="1" applyAlignment="1">
      <alignment horizontal="center" vertical="top" wrapText="1"/>
    </xf>
    <xf numFmtId="0" fontId="28" fillId="0" borderId="52" xfId="3" applyFont="1" applyFill="1" applyBorder="1" applyAlignment="1">
      <alignment horizontal="center" vertical="top" wrapText="1"/>
    </xf>
    <xf numFmtId="183" fontId="29" fillId="0" borderId="25" xfId="3" applyNumberFormat="1" applyFont="1" applyFill="1" applyBorder="1" applyAlignment="1">
      <alignment horizontal="center" vertical="center"/>
    </xf>
    <xf numFmtId="183" fontId="29" fillId="9" borderId="25" xfId="3" applyNumberFormat="1" applyFont="1" applyFill="1" applyBorder="1" applyAlignment="1">
      <alignment horizontal="center" vertical="center"/>
    </xf>
    <xf numFmtId="0" fontId="29" fillId="0" borderId="76" xfId="3" applyFont="1" applyFill="1" applyBorder="1" applyAlignment="1">
      <alignment horizontal="center" vertical="center"/>
    </xf>
    <xf numFmtId="0" fontId="29" fillId="0" borderId="78" xfId="3" applyFont="1" applyFill="1" applyBorder="1" applyAlignment="1">
      <alignment horizontal="center" vertical="center"/>
    </xf>
    <xf numFmtId="0" fontId="29" fillId="0" borderId="52" xfId="3" applyFont="1" applyFill="1" applyBorder="1" applyAlignment="1">
      <alignment horizontal="center" vertical="center"/>
    </xf>
    <xf numFmtId="178" fontId="40" fillId="0" borderId="0" xfId="3" applyNumberFormat="1" applyFont="1" applyFill="1" applyBorder="1" applyAlignment="1">
      <alignment horizontal="center" vertical="center"/>
    </xf>
    <xf numFmtId="0" fontId="28" fillId="0" borderId="76" xfId="3" applyFont="1" applyFill="1" applyBorder="1" applyAlignment="1">
      <alignment horizontal="center" vertical="center"/>
    </xf>
    <xf numFmtId="0" fontId="28" fillId="0" borderId="52" xfId="3" applyFont="1" applyFill="1" applyBorder="1" applyAlignment="1">
      <alignment horizontal="center" vertical="center"/>
    </xf>
    <xf numFmtId="0" fontId="5" fillId="9" borderId="77" xfId="3" applyFont="1" applyFill="1" applyBorder="1" applyAlignment="1">
      <alignment horizontal="center" vertical="center"/>
    </xf>
    <xf numFmtId="0" fontId="5" fillId="9" borderId="78" xfId="3" applyFont="1" applyFill="1" applyBorder="1" applyAlignment="1">
      <alignment horizontal="center" vertical="center"/>
    </xf>
    <xf numFmtId="0" fontId="5" fillId="9" borderId="79" xfId="3" applyFont="1" applyFill="1" applyBorder="1" applyAlignment="1">
      <alignment horizontal="center" vertical="center"/>
    </xf>
    <xf numFmtId="0" fontId="26" fillId="0" borderId="70" xfId="3" applyFont="1" applyFill="1" applyBorder="1" applyAlignment="1">
      <alignment horizontal="center" vertical="center"/>
    </xf>
    <xf numFmtId="0" fontId="26" fillId="0" borderId="71" xfId="3" applyFont="1" applyFill="1" applyBorder="1" applyAlignment="1">
      <alignment horizontal="center" vertical="center"/>
    </xf>
    <xf numFmtId="0" fontId="26" fillId="0" borderId="72" xfId="3" applyFont="1" applyFill="1" applyBorder="1" applyAlignment="1">
      <alignment horizontal="center" vertical="center"/>
    </xf>
    <xf numFmtId="0" fontId="27" fillId="0" borderId="25" xfId="3" applyFont="1" applyFill="1" applyBorder="1" applyAlignment="1">
      <alignment horizontal="center" vertical="center" wrapText="1"/>
    </xf>
    <xf numFmtId="0" fontId="28" fillId="0" borderId="25" xfId="3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5" fillId="0" borderId="0" xfId="6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164" fontId="14" fillId="0" borderId="0" xfId="0" applyNumberFormat="1" applyFont="1" applyFill="1" applyBorder="1" applyAlignment="1">
      <alignment horizontal="right"/>
    </xf>
    <xf numFmtId="44" fontId="0" fillId="0" borderId="0" xfId="0" applyNumberFormat="1" applyBorder="1" applyAlignment="1">
      <alignment horizontal="center" vertical="center"/>
    </xf>
    <xf numFmtId="0" fontId="51" fillId="0" borderId="0" xfId="0" applyFont="1"/>
    <xf numFmtId="43" fontId="51" fillId="0" borderId="0" xfId="0" applyNumberFormat="1" applyFont="1"/>
  </cellXfs>
  <cellStyles count="7">
    <cellStyle name="Hiperlink" xfId="6" builtinId="8"/>
    <cellStyle name="Normal" xfId="0" builtinId="0"/>
    <cellStyle name="Normal 2" xfId="3" xr:uid="{00000000-0005-0000-0000-000002000000}"/>
    <cellStyle name="Porcentagem" xfId="1" builtinId="5"/>
    <cellStyle name="Porcentagem 2" xfId="4" xr:uid="{00000000-0005-0000-0000-000004000000}"/>
    <cellStyle name="Porcentagem 3" xfId="5" xr:uid="{00000000-0005-0000-0000-000005000000}"/>
    <cellStyle name="Vírgula" xfId="2" builtinId="3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Investimento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'DemFin Proj'!$D$91</c:f>
              <c:strCache>
                <c:ptCount val="1"/>
                <c:pt idx="0">
                  <c:v>Obras de Infraestrutura de uso comum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'DemFin Proj'!$E$91:$N$91</c:f>
              <c:numCache>
                <c:formatCode>_(* #,##0.00_);_(* \(#,##0.00\);_(* "-"??_);_(@_)</c:formatCode>
                <c:ptCount val="10"/>
                <c:pt idx="0">
                  <c:v>68558874.354304582</c:v>
                </c:pt>
                <c:pt idx="1">
                  <c:v>81730460.258104399</c:v>
                </c:pt>
                <c:pt idx="2">
                  <c:v>54048707.983025655</c:v>
                </c:pt>
                <c:pt idx="3">
                  <c:v>57647619.40175245</c:v>
                </c:pt>
                <c:pt idx="4">
                  <c:v>62220294.867905438</c:v>
                </c:pt>
                <c:pt idx="5">
                  <c:v>7558596.0949078659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B-463C-9B69-5A813D42A1AF}"/>
            </c:ext>
          </c:extLst>
        </c:ser>
        <c:ser>
          <c:idx val="1"/>
          <c:order val="1"/>
          <c:tx>
            <c:strRef>
              <c:f>'DemFin Proj'!$D$92</c:f>
              <c:strCache>
                <c:ptCount val="1"/>
                <c:pt idx="0">
                  <c:v>Investimento e Infraestrutura On-Farm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'DemFin Proj'!$E$92:$N$92</c:f>
              <c:numCache>
                <c:formatCode>_(* #,##0.00_);_(* \(#,##0.00\);_(*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30101566.895480655</c:v>
                </c:pt>
                <c:pt idx="3">
                  <c:v>108474114.93866906</c:v>
                </c:pt>
                <c:pt idx="4">
                  <c:v>81545415.905144438</c:v>
                </c:pt>
                <c:pt idx="5">
                  <c:v>110182582.24895306</c:v>
                </c:pt>
                <c:pt idx="6">
                  <c:v>34304938.849354073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1B-463C-9B69-5A813D42A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63767999"/>
        <c:axId val="454651263"/>
      </c:barChart>
      <c:catAx>
        <c:axId val="56376799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54651263"/>
        <c:crosses val="autoZero"/>
        <c:auto val="1"/>
        <c:lblAlgn val="ctr"/>
        <c:lblOffset val="100"/>
        <c:noMultiLvlLbl val="0"/>
      </c:catAx>
      <c:valAx>
        <c:axId val="454651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3767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Ocupação da Área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'Cronograma de Implantação'!$C$13:$M$13</c:f>
              <c:numCache>
                <c:formatCode>#,##0.00\ "ha"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1097.876298394712</c:v>
                </c:pt>
                <c:pt idx="3">
                  <c:v>5054.1872836008815</c:v>
                </c:pt>
                <c:pt idx="4">
                  <c:v>8028.344066729619</c:v>
                </c:pt>
                <c:pt idx="5">
                  <c:v>12046.966949952784</c:v>
                </c:pt>
                <c:pt idx="6">
                  <c:v>13298.150299024235</c:v>
                </c:pt>
                <c:pt idx="7">
                  <c:v>13298.150299024235</c:v>
                </c:pt>
                <c:pt idx="8">
                  <c:v>13298.150299024235</c:v>
                </c:pt>
                <c:pt idx="9">
                  <c:v>13298.150299024235</c:v>
                </c:pt>
                <c:pt idx="10">
                  <c:v>13298.150299024235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DE-40FB-BE9D-FBC28AD0E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61233279"/>
        <c:axId val="666989599"/>
      </c:barChart>
      <c:catAx>
        <c:axId val="66123327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66989599"/>
        <c:crosses val="autoZero"/>
        <c:auto val="1"/>
        <c:lblAlgn val="ctr"/>
        <c:lblOffset val="100"/>
        <c:noMultiLvlLbl val="0"/>
      </c:catAx>
      <c:valAx>
        <c:axId val="6669895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61233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Fluxo de Caixa do Projeto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'DemFin Proj'!$D$93</c:f>
              <c:strCache>
                <c:ptCount val="1"/>
                <c:pt idx="0">
                  <c:v>Investimento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'DemFin Proj'!$E$93:$AM$93</c:f>
              <c:numCache>
                <c:formatCode>_(* #,##0.00_);_(* \(#,##0.00\);_(* "-"??_);_(@_)</c:formatCode>
                <c:ptCount val="35"/>
                <c:pt idx="0">
                  <c:v>68558874.354304582</c:v>
                </c:pt>
                <c:pt idx="1">
                  <c:v>81730460.258104399</c:v>
                </c:pt>
                <c:pt idx="2">
                  <c:v>84150274.878506303</c:v>
                </c:pt>
                <c:pt idx="3">
                  <c:v>166121734.3404215</c:v>
                </c:pt>
                <c:pt idx="4">
                  <c:v>143765710.77304989</c:v>
                </c:pt>
                <c:pt idx="5">
                  <c:v>117741178.34386092</c:v>
                </c:pt>
                <c:pt idx="6">
                  <c:v>34304938.849354073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D8-47B3-ABD3-90C65724D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728656575"/>
        <c:axId val="666981695"/>
      </c:barChart>
      <c:lineChart>
        <c:grouping val="standard"/>
        <c:varyColors val="0"/>
        <c:ser>
          <c:idx val="1"/>
          <c:order val="1"/>
          <c:tx>
            <c:strRef>
              <c:f>'DemFin Proj'!$D$94</c:f>
              <c:strCache>
                <c:ptCount val="1"/>
                <c:pt idx="0">
                  <c:v>Fluxo de Caixa Operacional</c:v>
                </c:pt>
              </c:strCache>
            </c:strRef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'DemFin Proj'!$E$94:$AM$94</c:f>
              <c:numCache>
                <c:formatCode>_(* #,##0.00_);_(* \(#,##0.00\);_(* "-"??_);_(@_)</c:formatCode>
                <c:ptCount val="35"/>
                <c:pt idx="0">
                  <c:v>-16321679.540972497</c:v>
                </c:pt>
                <c:pt idx="1">
                  <c:v>-2802659.322336209</c:v>
                </c:pt>
                <c:pt idx="2">
                  <c:v>-13448749.923304349</c:v>
                </c:pt>
                <c:pt idx="3">
                  <c:v>-47671993.986367792</c:v>
                </c:pt>
                <c:pt idx="4">
                  <c:v>-48916895.911767162</c:v>
                </c:pt>
                <c:pt idx="5">
                  <c:v>-27155386.624956407</c:v>
                </c:pt>
                <c:pt idx="6">
                  <c:v>23350519.418984503</c:v>
                </c:pt>
                <c:pt idx="7">
                  <c:v>65102981.805167757</c:v>
                </c:pt>
                <c:pt idx="8">
                  <c:v>88923049.21334824</c:v>
                </c:pt>
                <c:pt idx="9">
                  <c:v>95116836.99505049</c:v>
                </c:pt>
                <c:pt idx="10">
                  <c:v>106531405.50376801</c:v>
                </c:pt>
                <c:pt idx="11">
                  <c:v>111730755.86853462</c:v>
                </c:pt>
                <c:pt idx="12">
                  <c:v>111733170.92458986</c:v>
                </c:pt>
                <c:pt idx="13">
                  <c:v>104602246.81449997</c:v>
                </c:pt>
                <c:pt idx="14">
                  <c:v>101810077.15800761</c:v>
                </c:pt>
                <c:pt idx="15">
                  <c:v>101810077.15800761</c:v>
                </c:pt>
                <c:pt idx="16">
                  <c:v>101810077.15800761</c:v>
                </c:pt>
                <c:pt idx="17">
                  <c:v>72788788.368744493</c:v>
                </c:pt>
                <c:pt idx="18">
                  <c:v>67055635.420417696</c:v>
                </c:pt>
                <c:pt idx="19">
                  <c:v>62411449.876420856</c:v>
                </c:pt>
                <c:pt idx="20">
                  <c:v>71712044.124728411</c:v>
                </c:pt>
                <c:pt idx="21">
                  <c:v>71754244.219622687</c:v>
                </c:pt>
                <c:pt idx="22">
                  <c:v>71125488.480328009</c:v>
                </c:pt>
                <c:pt idx="23">
                  <c:v>91506907.286090434</c:v>
                </c:pt>
                <c:pt idx="24">
                  <c:v>91032344.544028029</c:v>
                </c:pt>
                <c:pt idx="25">
                  <c:v>91508999.066925675</c:v>
                </c:pt>
                <c:pt idx="26">
                  <c:v>92613214.439803436</c:v>
                </c:pt>
                <c:pt idx="27">
                  <c:v>85051432.697183341</c:v>
                </c:pt>
                <c:pt idx="28">
                  <c:v>79114604.847792342</c:v>
                </c:pt>
                <c:pt idx="29">
                  <c:v>78328505.443093255</c:v>
                </c:pt>
                <c:pt idx="30">
                  <c:v>83934648.696834862</c:v>
                </c:pt>
                <c:pt idx="31">
                  <c:v>89033617.210765973</c:v>
                </c:pt>
                <c:pt idx="32">
                  <c:v>89033617.210765973</c:v>
                </c:pt>
                <c:pt idx="33">
                  <c:v>89033617.210765973</c:v>
                </c:pt>
                <c:pt idx="34">
                  <c:v>89033617.210765973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D8-47B3-ABD3-90C65724D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8656575"/>
        <c:axId val="666981695"/>
      </c:lineChart>
      <c:catAx>
        <c:axId val="72865657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66981695"/>
        <c:crosses val="autoZero"/>
        <c:auto val="1"/>
        <c:lblAlgn val="ctr"/>
        <c:lblOffset val="100"/>
        <c:noMultiLvlLbl val="0"/>
      </c:catAx>
      <c:valAx>
        <c:axId val="666981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28656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Fluxo de Caixa Acumulado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Desalavancado</c:v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'DemFin Proj'!$E$60:$AM$60</c:f>
              <c:numCache>
                <c:formatCode>_(* #,##0.00_);_(* \(#,##0.00\);_(* "-"??_);_(@_)</c:formatCode>
                <c:ptCount val="35"/>
                <c:pt idx="0">
                  <c:v>-84880553.895277083</c:v>
                </c:pt>
                <c:pt idx="1">
                  <c:v>-169413673.47571769</c:v>
                </c:pt>
                <c:pt idx="2">
                  <c:v>-267012698.27752835</c:v>
                </c:pt>
                <c:pt idx="3">
                  <c:v>-480806426.60431767</c:v>
                </c:pt>
                <c:pt idx="4">
                  <c:v>-673489033.28913474</c:v>
                </c:pt>
                <c:pt idx="5">
                  <c:v>-818385598.25795209</c:v>
                </c:pt>
                <c:pt idx="6">
                  <c:v>-829340017.68832171</c:v>
                </c:pt>
                <c:pt idx="7">
                  <c:v>-764237035.88315392</c:v>
                </c:pt>
                <c:pt idx="8">
                  <c:v>-675313986.66980565</c:v>
                </c:pt>
                <c:pt idx="9">
                  <c:v>-580197149.6747551</c:v>
                </c:pt>
                <c:pt idx="10">
                  <c:v>-473665744.17098707</c:v>
                </c:pt>
                <c:pt idx="11">
                  <c:v>-361934988.30245245</c:v>
                </c:pt>
                <c:pt idx="12">
                  <c:v>-250201817.37786257</c:v>
                </c:pt>
                <c:pt idx="13">
                  <c:v>-145599570.5633626</c:v>
                </c:pt>
                <c:pt idx="14">
                  <c:v>-43789493.405354992</c:v>
                </c:pt>
                <c:pt idx="15">
                  <c:v>58020583.752652615</c:v>
                </c:pt>
                <c:pt idx="16">
                  <c:v>159830660.91066021</c:v>
                </c:pt>
                <c:pt idx="17">
                  <c:v>232619449.2794047</c:v>
                </c:pt>
                <c:pt idx="18">
                  <c:v>299675084.69982243</c:v>
                </c:pt>
                <c:pt idx="19">
                  <c:v>362086534.57624328</c:v>
                </c:pt>
                <c:pt idx="20">
                  <c:v>433798578.70097172</c:v>
                </c:pt>
                <c:pt idx="21">
                  <c:v>505552822.92059439</c:v>
                </c:pt>
                <c:pt idx="22">
                  <c:v>576678311.40092242</c:v>
                </c:pt>
                <c:pt idx="23">
                  <c:v>668185218.68701291</c:v>
                </c:pt>
                <c:pt idx="24">
                  <c:v>759217563.23104095</c:v>
                </c:pt>
                <c:pt idx="25">
                  <c:v>850726562.2979666</c:v>
                </c:pt>
                <c:pt idx="26">
                  <c:v>943339776.73777008</c:v>
                </c:pt>
                <c:pt idx="27">
                  <c:v>1028391209.4349535</c:v>
                </c:pt>
                <c:pt idx="28">
                  <c:v>1107505814.2827458</c:v>
                </c:pt>
                <c:pt idx="29">
                  <c:v>1185834319.7258391</c:v>
                </c:pt>
                <c:pt idx="30">
                  <c:v>1269768968.4226739</c:v>
                </c:pt>
                <c:pt idx="31">
                  <c:v>1358802585.63344</c:v>
                </c:pt>
                <c:pt idx="32">
                  <c:v>1447836202.8442061</c:v>
                </c:pt>
                <c:pt idx="33">
                  <c:v>1536869820.0549722</c:v>
                </c:pt>
                <c:pt idx="34">
                  <c:v>1625903437.2657382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E0-405D-9787-F03CBC279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8656575"/>
        <c:axId val="666981695"/>
      </c:lineChart>
      <c:catAx>
        <c:axId val="72865657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66981695"/>
        <c:crosses val="autoZero"/>
        <c:auto val="1"/>
        <c:lblAlgn val="ctr"/>
        <c:lblOffset val="100"/>
        <c:noMultiLvlLbl val="0"/>
      </c:catAx>
      <c:valAx>
        <c:axId val="666981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286565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Cobertura do Serviço da Dívida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EBITDA - IR/CSLL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'DemFin Acio'!$E$87:$AM$87</c:f>
              <c:numCache>
                <c:formatCode>_(* #,##0.00_);_(* \(#,##0.00\);_(* "-"??_);_(@_)</c:formatCode>
                <c:ptCount val="35"/>
                <c:pt idx="0">
                  <c:v>-16347023.145833613</c:v>
                </c:pt>
                <c:pt idx="1">
                  <c:v>-2841534.7587562092</c:v>
                </c:pt>
                <c:pt idx="2">
                  <c:v>-10373485.116502943</c:v>
                </c:pt>
                <c:pt idx="3">
                  <c:v>-36143562.305619396</c:v>
                </c:pt>
                <c:pt idx="4">
                  <c:v>-33885699.555766925</c:v>
                </c:pt>
                <c:pt idx="5">
                  <c:v>4517963.3248058558</c:v>
                </c:pt>
                <c:pt idx="6">
                  <c:v>44912427.27222389</c:v>
                </c:pt>
                <c:pt idx="7">
                  <c:v>83386556.771365777</c:v>
                </c:pt>
                <c:pt idx="8">
                  <c:v>98017733.958618656</c:v>
                </c:pt>
                <c:pt idx="9">
                  <c:v>97705386.784766644</c:v>
                </c:pt>
                <c:pt idx="10">
                  <c:v>113960758.7048343</c:v>
                </c:pt>
                <c:pt idx="11">
                  <c:v>113629814.6785033</c:v>
                </c:pt>
                <c:pt idx="12">
                  <c:v>113303695.93899593</c:v>
                </c:pt>
                <c:pt idx="13">
                  <c:v>112975164.55607675</c:v>
                </c:pt>
                <c:pt idx="14">
                  <c:v>112646633.17315757</c:v>
                </c:pt>
                <c:pt idx="15">
                  <c:v>112318101.79023838</c:v>
                </c:pt>
                <c:pt idx="16">
                  <c:v>104567017.02154934</c:v>
                </c:pt>
                <c:pt idx="17">
                  <c:v>48077670.482525289</c:v>
                </c:pt>
                <c:pt idx="18">
                  <c:v>84927270.452977002</c:v>
                </c:pt>
                <c:pt idx="19">
                  <c:v>44428018.163852826</c:v>
                </c:pt>
                <c:pt idx="20">
                  <c:v>96484955.675104111</c:v>
                </c:pt>
                <c:pt idx="21">
                  <c:v>51583250.344358116</c:v>
                </c:pt>
                <c:pt idx="22">
                  <c:v>88646810.849549696</c:v>
                </c:pt>
                <c:pt idx="23">
                  <c:v>93184695.207064345</c:v>
                </c:pt>
                <c:pt idx="24">
                  <c:v>88646810.849549696</c:v>
                </c:pt>
                <c:pt idx="25">
                  <c:v>93186784.898208439</c:v>
                </c:pt>
                <c:pt idx="26">
                  <c:v>92254384.206989884</c:v>
                </c:pt>
                <c:pt idx="27">
                  <c:v>79516189.212609172</c:v>
                </c:pt>
                <c:pt idx="28">
                  <c:v>78781126.784040034</c:v>
                </c:pt>
                <c:pt idx="29">
                  <c:v>77995029.469032109</c:v>
                </c:pt>
                <c:pt idx="30">
                  <c:v>88777583.884843171</c:v>
                </c:pt>
                <c:pt idx="31">
                  <c:v>88674786.977952421</c:v>
                </c:pt>
                <c:pt idx="32">
                  <c:v>88674786.977952421</c:v>
                </c:pt>
                <c:pt idx="33">
                  <c:v>88674786.977952421</c:v>
                </c:pt>
                <c:pt idx="34">
                  <c:v>88674786.977952421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0-45C0-847F-653BC1779975}"/>
            </c:ext>
          </c:extLst>
        </c:ser>
        <c:ser>
          <c:idx val="1"/>
          <c:order val="1"/>
          <c:tx>
            <c:v>Serviço Dívida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'DemFin Acio'!$E$88:$AM$88</c:f>
              <c:numCache>
                <c:formatCode>_(* #,##0.00_);_(* \(#,##0.00\);_(* "-"??_);_(@_)</c:formatCode>
                <c:ptCount val="35"/>
                <c:pt idx="0">
                  <c:v>1630807.8673947928</c:v>
                </c:pt>
                <c:pt idx="1">
                  <c:v>3574927.8496731408</c:v>
                </c:pt>
                <c:pt idx="2">
                  <c:v>5576607.8890229426</c:v>
                </c:pt>
                <c:pt idx="3">
                  <c:v>11640155.076223224</c:v>
                </c:pt>
                <c:pt idx="4">
                  <c:v>17441781.476131059</c:v>
                </c:pt>
                <c:pt idx="5">
                  <c:v>22536897.563636087</c:v>
                </c:pt>
                <c:pt idx="6">
                  <c:v>28005712.314153358</c:v>
                </c:pt>
                <c:pt idx="7">
                  <c:v>31640525.785470508</c:v>
                </c:pt>
                <c:pt idx="8">
                  <c:v>34188652.149644479</c:v>
                </c:pt>
                <c:pt idx="9">
                  <c:v>33933061.929373689</c:v>
                </c:pt>
                <c:pt idx="10">
                  <c:v>32552677.967528388</c:v>
                </c:pt>
                <c:pt idx="11">
                  <c:v>31172294.005683079</c:v>
                </c:pt>
                <c:pt idx="12">
                  <c:v>29791910.043837775</c:v>
                </c:pt>
                <c:pt idx="13">
                  <c:v>28411526.081992466</c:v>
                </c:pt>
                <c:pt idx="14">
                  <c:v>27031142.120147161</c:v>
                </c:pt>
                <c:pt idx="15">
                  <c:v>23538743.633490119</c:v>
                </c:pt>
                <c:pt idx="16">
                  <c:v>19776483.878765047</c:v>
                </c:pt>
                <c:pt idx="17">
                  <c:v>16101689.671917301</c:v>
                </c:pt>
                <c:pt idx="18">
                  <c:v>10068501.500756254</c:v>
                </c:pt>
                <c:pt idx="19">
                  <c:v>5053304.0675937999</c:v>
                </c:pt>
                <c:pt idx="20">
                  <c:v>1124793.7415745277</c:v>
                </c:pt>
                <c:pt idx="21">
                  <c:v>1.4981827420401348E-9</c:v>
                </c:pt>
                <c:pt idx="22">
                  <c:v>1.4981827420401348E-9</c:v>
                </c:pt>
                <c:pt idx="23">
                  <c:v>1.4981827420401348E-9</c:v>
                </c:pt>
                <c:pt idx="24">
                  <c:v>1.4981827420401348E-9</c:v>
                </c:pt>
                <c:pt idx="25">
                  <c:v>1.4981827420401348E-9</c:v>
                </c:pt>
                <c:pt idx="26">
                  <c:v>1.4981827420401348E-9</c:v>
                </c:pt>
                <c:pt idx="27">
                  <c:v>1.4981827420401348E-9</c:v>
                </c:pt>
                <c:pt idx="28">
                  <c:v>1.4981827420401348E-9</c:v>
                </c:pt>
                <c:pt idx="29">
                  <c:v>1.4981827420401348E-9</c:v>
                </c:pt>
                <c:pt idx="30">
                  <c:v>1.4981827420401348E-9</c:v>
                </c:pt>
                <c:pt idx="31">
                  <c:v>1.4981827420401348E-9</c:v>
                </c:pt>
                <c:pt idx="32">
                  <c:v>1.4981827420401348E-9</c:v>
                </c:pt>
                <c:pt idx="33">
                  <c:v>1.4981827420401348E-9</c:v>
                </c:pt>
                <c:pt idx="34">
                  <c:v>1.4981827420401348E-9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50-45C0-847F-653BC1779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9654607"/>
        <c:axId val="358389535"/>
      </c:lineChart>
      <c:catAx>
        <c:axId val="27965460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58389535"/>
        <c:crosses val="autoZero"/>
        <c:auto val="1"/>
        <c:lblAlgn val="ctr"/>
        <c:lblOffset val="100"/>
        <c:noMultiLvlLbl val="0"/>
      </c:catAx>
      <c:valAx>
        <c:axId val="358389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79654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19046</xdr:colOff>
      <xdr:row>0</xdr:row>
      <xdr:rowOff>35722</xdr:rowOff>
    </xdr:from>
    <xdr:to>
      <xdr:col>7</xdr:col>
      <xdr:colOff>390525</xdr:colOff>
      <xdr:row>2</xdr:row>
      <xdr:rowOff>114097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919F7FD-AA81-43A9-80C4-DC4F1A4F5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6" y="226222"/>
          <a:ext cx="9001129" cy="5832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3731</xdr:colOff>
      <xdr:row>9</xdr:row>
      <xdr:rowOff>0</xdr:rowOff>
    </xdr:from>
    <xdr:to>
      <xdr:col>4</xdr:col>
      <xdr:colOff>3731</xdr:colOff>
      <xdr:row>9</xdr:row>
      <xdr:rowOff>6350</xdr:rowOff>
    </xdr:to>
    <xdr:grpSp>
      <xdr:nvGrpSpPr>
        <xdr:cNvPr id="2" name="Group 9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pSpPr/>
      </xdr:nvGrpSpPr>
      <xdr:grpSpPr>
        <a:xfrm>
          <a:off x="6909356" y="2428875"/>
          <a:ext cx="0" cy="6350"/>
          <a:chOff x="0" y="0"/>
          <a:chExt cx="0" cy="6350"/>
        </a:xfrm>
      </xdr:grpSpPr>
      <xdr:sp macro="" textlink="">
        <xdr:nvSpPr>
          <xdr:cNvPr id="3" name="Shape 10">
            <a:extLst>
              <a:ext uri="{FF2B5EF4-FFF2-40B4-BE49-F238E27FC236}">
                <a16:creationId xmlns:a16="http://schemas.microsoft.com/office/drawing/2014/main" id="{00000000-0008-0000-1700-000003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4" name="Shape 11">
            <a:extLst>
              <a:ext uri="{FF2B5EF4-FFF2-40B4-BE49-F238E27FC236}">
                <a16:creationId xmlns:a16="http://schemas.microsoft.com/office/drawing/2014/main" id="{00000000-0008-0000-1700-000004000000}"/>
              </a:ext>
            </a:extLst>
          </xdr:cNvPr>
          <xdr:cNvSpPr/>
        </xdr:nvSpPr>
        <xdr:spPr>
          <a:xfrm>
            <a:off x="3" y="3181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5" name="Shape 12">
            <a:extLst>
              <a:ext uri="{FF2B5EF4-FFF2-40B4-BE49-F238E27FC236}">
                <a16:creationId xmlns:a16="http://schemas.microsoft.com/office/drawing/2014/main" id="{00000000-0008-0000-1700-000005000000}"/>
              </a:ext>
            </a:extLst>
          </xdr:cNvPr>
          <xdr:cNvSpPr/>
        </xdr:nvSpPr>
        <xdr:spPr>
          <a:xfrm>
            <a:off x="0" y="3181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twoCellAnchor>
  <xdr:twoCellAnchor editAs="oneCell">
    <xdr:from>
      <xdr:col>5</xdr:col>
      <xdr:colOff>3917</xdr:colOff>
      <xdr:row>9</xdr:row>
      <xdr:rowOff>0</xdr:rowOff>
    </xdr:from>
    <xdr:to>
      <xdr:col>5</xdr:col>
      <xdr:colOff>3917</xdr:colOff>
      <xdr:row>9</xdr:row>
      <xdr:rowOff>6350</xdr:rowOff>
    </xdr:to>
    <xdr:grpSp>
      <xdr:nvGrpSpPr>
        <xdr:cNvPr id="6" name="Group 13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GrpSpPr/>
      </xdr:nvGrpSpPr>
      <xdr:grpSpPr>
        <a:xfrm>
          <a:off x="7471517" y="2428875"/>
          <a:ext cx="0" cy="6350"/>
          <a:chOff x="0" y="0"/>
          <a:chExt cx="0" cy="6350"/>
        </a:xfrm>
      </xdr:grpSpPr>
      <xdr:sp macro="" textlink="">
        <xdr:nvSpPr>
          <xdr:cNvPr id="7" name="Shape 14">
            <a:extLst>
              <a:ext uri="{FF2B5EF4-FFF2-40B4-BE49-F238E27FC236}">
                <a16:creationId xmlns:a16="http://schemas.microsoft.com/office/drawing/2014/main" id="{00000000-0008-0000-1700-000007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8" name="Shape 15">
            <a:extLst>
              <a:ext uri="{FF2B5EF4-FFF2-40B4-BE49-F238E27FC236}">
                <a16:creationId xmlns:a16="http://schemas.microsoft.com/office/drawing/2014/main" id="{00000000-0008-0000-1700-000008000000}"/>
              </a:ext>
            </a:extLst>
          </xdr:cNvPr>
          <xdr:cNvSpPr/>
        </xdr:nvSpPr>
        <xdr:spPr>
          <a:xfrm>
            <a:off x="3" y="3181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9" name="Shape 16">
            <a:extLst>
              <a:ext uri="{FF2B5EF4-FFF2-40B4-BE49-F238E27FC236}">
                <a16:creationId xmlns:a16="http://schemas.microsoft.com/office/drawing/2014/main" id="{00000000-0008-0000-1700-000009000000}"/>
              </a:ext>
            </a:extLst>
          </xdr:cNvPr>
          <xdr:cNvSpPr/>
        </xdr:nvSpPr>
        <xdr:spPr>
          <a:xfrm>
            <a:off x="0" y="3181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twoCellAnchor>
  <xdr:twoCellAnchor editAs="oneCell">
    <xdr:from>
      <xdr:col>7</xdr:col>
      <xdr:colOff>4292</xdr:colOff>
      <xdr:row>9</xdr:row>
      <xdr:rowOff>0</xdr:rowOff>
    </xdr:from>
    <xdr:to>
      <xdr:col>7</xdr:col>
      <xdr:colOff>4292</xdr:colOff>
      <xdr:row>9</xdr:row>
      <xdr:rowOff>6350</xdr:rowOff>
    </xdr:to>
    <xdr:grpSp>
      <xdr:nvGrpSpPr>
        <xdr:cNvPr id="10" name="Group 17">
          <a:extLst>
            <a:ext uri="{FF2B5EF4-FFF2-40B4-BE49-F238E27FC236}">
              <a16:creationId xmlns:a16="http://schemas.microsoft.com/office/drawing/2014/main" id="{00000000-0008-0000-1700-00000A000000}"/>
            </a:ext>
          </a:extLst>
        </xdr:cNvPr>
        <xdr:cNvGrpSpPr/>
      </xdr:nvGrpSpPr>
      <xdr:grpSpPr>
        <a:xfrm>
          <a:off x="8595842" y="2428875"/>
          <a:ext cx="0" cy="6350"/>
          <a:chOff x="0" y="0"/>
          <a:chExt cx="0" cy="6350"/>
        </a:xfrm>
      </xdr:grpSpPr>
      <xdr:sp macro="" textlink="">
        <xdr:nvSpPr>
          <xdr:cNvPr id="11" name="Shape 18">
            <a:extLst>
              <a:ext uri="{FF2B5EF4-FFF2-40B4-BE49-F238E27FC236}">
                <a16:creationId xmlns:a16="http://schemas.microsoft.com/office/drawing/2014/main" id="{00000000-0008-0000-1700-00000B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12" name="Shape 19">
            <a:extLst>
              <a:ext uri="{FF2B5EF4-FFF2-40B4-BE49-F238E27FC236}">
                <a16:creationId xmlns:a16="http://schemas.microsoft.com/office/drawing/2014/main" id="{00000000-0008-0000-1700-00000C000000}"/>
              </a:ext>
            </a:extLst>
          </xdr:cNvPr>
          <xdr:cNvSpPr/>
        </xdr:nvSpPr>
        <xdr:spPr>
          <a:xfrm>
            <a:off x="3" y="3181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13" name="Shape 20">
            <a:extLst>
              <a:ext uri="{FF2B5EF4-FFF2-40B4-BE49-F238E27FC236}">
                <a16:creationId xmlns:a16="http://schemas.microsoft.com/office/drawing/2014/main" id="{00000000-0008-0000-1700-00000D000000}"/>
              </a:ext>
            </a:extLst>
          </xdr:cNvPr>
          <xdr:cNvSpPr/>
        </xdr:nvSpPr>
        <xdr:spPr>
          <a:xfrm>
            <a:off x="0" y="3181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twoCellAnchor>
  <xdr:twoCellAnchor editAs="oneCell">
    <xdr:from>
      <xdr:col>8</xdr:col>
      <xdr:colOff>4479</xdr:colOff>
      <xdr:row>9</xdr:row>
      <xdr:rowOff>0</xdr:rowOff>
    </xdr:from>
    <xdr:to>
      <xdr:col>8</xdr:col>
      <xdr:colOff>4479</xdr:colOff>
      <xdr:row>9</xdr:row>
      <xdr:rowOff>6350</xdr:rowOff>
    </xdr:to>
    <xdr:grpSp>
      <xdr:nvGrpSpPr>
        <xdr:cNvPr id="14" name="Group 21">
          <a:extLst>
            <a:ext uri="{FF2B5EF4-FFF2-40B4-BE49-F238E27FC236}">
              <a16:creationId xmlns:a16="http://schemas.microsoft.com/office/drawing/2014/main" id="{00000000-0008-0000-1700-00000E000000}"/>
            </a:ext>
          </a:extLst>
        </xdr:cNvPr>
        <xdr:cNvGrpSpPr/>
      </xdr:nvGrpSpPr>
      <xdr:grpSpPr>
        <a:xfrm>
          <a:off x="9158004" y="2428875"/>
          <a:ext cx="0" cy="6350"/>
          <a:chOff x="0" y="0"/>
          <a:chExt cx="0" cy="6350"/>
        </a:xfrm>
      </xdr:grpSpPr>
      <xdr:sp macro="" textlink="">
        <xdr:nvSpPr>
          <xdr:cNvPr id="15" name="Shape 22">
            <a:extLst>
              <a:ext uri="{FF2B5EF4-FFF2-40B4-BE49-F238E27FC236}">
                <a16:creationId xmlns:a16="http://schemas.microsoft.com/office/drawing/2014/main" id="{00000000-0008-0000-1700-00000F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16" name="Shape 23">
            <a:extLst>
              <a:ext uri="{FF2B5EF4-FFF2-40B4-BE49-F238E27FC236}">
                <a16:creationId xmlns:a16="http://schemas.microsoft.com/office/drawing/2014/main" id="{00000000-0008-0000-1700-000010000000}"/>
              </a:ext>
            </a:extLst>
          </xdr:cNvPr>
          <xdr:cNvSpPr/>
        </xdr:nvSpPr>
        <xdr:spPr>
          <a:xfrm>
            <a:off x="3" y="3181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17" name="Shape 24">
            <a:extLst>
              <a:ext uri="{FF2B5EF4-FFF2-40B4-BE49-F238E27FC236}">
                <a16:creationId xmlns:a16="http://schemas.microsoft.com/office/drawing/2014/main" id="{00000000-0008-0000-1700-000011000000}"/>
              </a:ext>
            </a:extLst>
          </xdr:cNvPr>
          <xdr:cNvSpPr/>
        </xdr:nvSpPr>
        <xdr:spPr>
          <a:xfrm>
            <a:off x="0" y="3181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twoCellAnchor>
  <xdr:absoluteAnchor>
    <xdr:pos x="-613520" y="8769355"/>
    <xdr:ext cx="0" cy="0"/>
    <xdr:sp macro="" textlink="">
      <xdr:nvSpPr>
        <xdr:cNvPr id="18" name="Shape 25">
          <a:extLst>
            <a:ext uri="{FF2B5EF4-FFF2-40B4-BE49-F238E27FC236}">
              <a16:creationId xmlns:a16="http://schemas.microsoft.com/office/drawing/2014/main" id="{00000000-0008-0000-1700-000012000000}"/>
            </a:ext>
          </a:extLst>
        </xdr:cNvPr>
        <xdr:cNvSpPr/>
      </xdr:nvSpPr>
      <xdr:spPr>
        <a:xfrm>
          <a:off x="-613520" y="8769355"/>
          <a:ext cx="0" cy="0"/>
        </a:xfrm>
        <a:custGeom>
          <a:avLst/>
          <a:gdLst/>
          <a:ahLst/>
          <a:cxnLst/>
          <a:rect l="0" t="0" r="0" b="0"/>
          <a:pathLst>
            <a:path>
              <a:moveTo>
                <a:pt x="616695" y="-1123080"/>
              </a:moveTo>
              <a:lnTo>
                <a:pt x="616695" y="-1123080"/>
              </a:lnTo>
            </a:path>
            <a:path>
              <a:moveTo>
                <a:pt x="616695" y="-1123080"/>
              </a:moveTo>
              <a:lnTo>
                <a:pt x="616695" y="-112308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absoluteAnchor>
  <xdr:absoluteAnchor>
    <xdr:pos x="2676893" y="7643100"/>
    <xdr:ext cx="0" cy="6350"/>
    <xdr:grpSp>
      <xdr:nvGrpSpPr>
        <xdr:cNvPr id="19" name="Group 26">
          <a:extLst>
            <a:ext uri="{FF2B5EF4-FFF2-40B4-BE49-F238E27FC236}">
              <a16:creationId xmlns:a16="http://schemas.microsoft.com/office/drawing/2014/main" id="{00000000-0008-0000-1700-000013000000}"/>
            </a:ext>
          </a:extLst>
        </xdr:cNvPr>
        <xdr:cNvGrpSpPr/>
      </xdr:nvGrpSpPr>
      <xdr:grpSpPr>
        <a:xfrm>
          <a:off x="2676893" y="7643100"/>
          <a:ext cx="0" cy="6350"/>
          <a:chOff x="0" y="0"/>
          <a:chExt cx="0" cy="6350"/>
        </a:xfrm>
      </xdr:grpSpPr>
      <xdr:sp macro="" textlink="">
        <xdr:nvSpPr>
          <xdr:cNvPr id="20" name="Shape 27">
            <a:extLst>
              <a:ext uri="{FF2B5EF4-FFF2-40B4-BE49-F238E27FC236}">
                <a16:creationId xmlns:a16="http://schemas.microsoft.com/office/drawing/2014/main" id="{00000000-0008-0000-1700-000014000000}"/>
              </a:ext>
            </a:extLst>
          </xdr:cNvPr>
          <xdr:cNvSpPr/>
        </xdr:nvSpPr>
        <xdr:spPr>
          <a:xfrm>
            <a:off x="1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21" name="Shape 28">
            <a:extLst>
              <a:ext uri="{FF2B5EF4-FFF2-40B4-BE49-F238E27FC236}">
                <a16:creationId xmlns:a16="http://schemas.microsoft.com/office/drawing/2014/main" id="{00000000-0008-0000-1700-000015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22" name="Shape 29">
            <a:extLst>
              <a:ext uri="{FF2B5EF4-FFF2-40B4-BE49-F238E27FC236}">
                <a16:creationId xmlns:a16="http://schemas.microsoft.com/office/drawing/2014/main" id="{00000000-0008-0000-1700-000016000000}"/>
              </a:ext>
            </a:extLst>
          </xdr:cNvPr>
          <xdr:cNvSpPr/>
        </xdr:nvSpPr>
        <xdr:spPr>
          <a:xfrm>
            <a:off x="1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absoluteAnchor>
  <xdr:absoluteAnchor>
    <xdr:pos x="6030815" y="7643100"/>
    <xdr:ext cx="0" cy="6350"/>
    <xdr:grpSp>
      <xdr:nvGrpSpPr>
        <xdr:cNvPr id="23" name="Group 30">
          <a:extLst>
            <a:ext uri="{FF2B5EF4-FFF2-40B4-BE49-F238E27FC236}">
              <a16:creationId xmlns:a16="http://schemas.microsoft.com/office/drawing/2014/main" id="{00000000-0008-0000-1700-000017000000}"/>
            </a:ext>
          </a:extLst>
        </xdr:cNvPr>
        <xdr:cNvGrpSpPr/>
      </xdr:nvGrpSpPr>
      <xdr:grpSpPr>
        <a:xfrm>
          <a:off x="6030815" y="7643100"/>
          <a:ext cx="0" cy="6350"/>
          <a:chOff x="0" y="0"/>
          <a:chExt cx="0" cy="6350"/>
        </a:xfrm>
      </xdr:grpSpPr>
      <xdr:sp macro="" textlink="">
        <xdr:nvSpPr>
          <xdr:cNvPr id="24" name="Shape 31">
            <a:extLst>
              <a:ext uri="{FF2B5EF4-FFF2-40B4-BE49-F238E27FC236}">
                <a16:creationId xmlns:a16="http://schemas.microsoft.com/office/drawing/2014/main" id="{00000000-0008-0000-1700-000018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25" name="Shape 32">
            <a:extLst>
              <a:ext uri="{FF2B5EF4-FFF2-40B4-BE49-F238E27FC236}">
                <a16:creationId xmlns:a16="http://schemas.microsoft.com/office/drawing/2014/main" id="{00000000-0008-0000-1700-000019000000}"/>
              </a:ext>
            </a:extLst>
          </xdr:cNvPr>
          <xdr:cNvSpPr/>
        </xdr:nvSpPr>
        <xdr:spPr>
          <a:xfrm>
            <a:off x="3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absoluteAnchor>
  <xdr:twoCellAnchor editAs="oneCell">
    <xdr:from>
      <xdr:col>3</xdr:col>
      <xdr:colOff>3543</xdr:colOff>
      <xdr:row>8</xdr:row>
      <xdr:rowOff>257169</xdr:rowOff>
    </xdr:from>
    <xdr:to>
      <xdr:col>3</xdr:col>
      <xdr:colOff>3543</xdr:colOff>
      <xdr:row>9</xdr:row>
      <xdr:rowOff>6344</xdr:rowOff>
    </xdr:to>
    <xdr:grpSp>
      <xdr:nvGrpSpPr>
        <xdr:cNvPr id="26" name="Group 33">
          <a:extLst>
            <a:ext uri="{FF2B5EF4-FFF2-40B4-BE49-F238E27FC236}">
              <a16:creationId xmlns:a16="http://schemas.microsoft.com/office/drawing/2014/main" id="{00000000-0008-0000-1700-00001A000000}"/>
            </a:ext>
          </a:extLst>
        </xdr:cNvPr>
        <xdr:cNvGrpSpPr/>
      </xdr:nvGrpSpPr>
      <xdr:grpSpPr>
        <a:xfrm>
          <a:off x="6347193" y="2428869"/>
          <a:ext cx="0" cy="6350"/>
          <a:chOff x="0" y="0"/>
          <a:chExt cx="0" cy="6350"/>
        </a:xfrm>
      </xdr:grpSpPr>
      <xdr:sp macro="" textlink="">
        <xdr:nvSpPr>
          <xdr:cNvPr id="27" name="Shape 34">
            <a:extLst>
              <a:ext uri="{FF2B5EF4-FFF2-40B4-BE49-F238E27FC236}">
                <a16:creationId xmlns:a16="http://schemas.microsoft.com/office/drawing/2014/main" id="{00000000-0008-0000-1700-00001B000000}"/>
              </a:ext>
            </a:extLst>
          </xdr:cNvPr>
          <xdr:cNvSpPr/>
        </xdr:nvSpPr>
        <xdr:spPr>
          <a:xfrm>
            <a:off x="0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28" name="Shape 35">
            <a:extLst>
              <a:ext uri="{FF2B5EF4-FFF2-40B4-BE49-F238E27FC236}">
                <a16:creationId xmlns:a16="http://schemas.microsoft.com/office/drawing/2014/main" id="{00000000-0008-0000-1700-00001C000000}"/>
              </a:ext>
            </a:extLst>
          </xdr:cNvPr>
          <xdr:cNvSpPr/>
        </xdr:nvSpPr>
        <xdr:spPr>
          <a:xfrm>
            <a:off x="1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29" name="Shape 36">
            <a:extLst>
              <a:ext uri="{FF2B5EF4-FFF2-40B4-BE49-F238E27FC236}">
                <a16:creationId xmlns:a16="http://schemas.microsoft.com/office/drawing/2014/main" id="{00000000-0008-0000-1700-00001D000000}"/>
              </a:ext>
            </a:extLst>
          </xdr:cNvPr>
          <xdr:cNvSpPr/>
        </xdr:nvSpPr>
        <xdr:spPr>
          <a:xfrm>
            <a:off x="1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twoCellAnchor>
  <xdr:absoluteAnchor>
    <xdr:pos x="1164894" y="7643100"/>
    <xdr:ext cx="0" cy="6350"/>
    <xdr:grpSp>
      <xdr:nvGrpSpPr>
        <xdr:cNvPr id="30" name="Group 37">
          <a:extLst>
            <a:ext uri="{FF2B5EF4-FFF2-40B4-BE49-F238E27FC236}">
              <a16:creationId xmlns:a16="http://schemas.microsoft.com/office/drawing/2014/main" id="{00000000-0008-0000-1700-00001E000000}"/>
            </a:ext>
          </a:extLst>
        </xdr:cNvPr>
        <xdr:cNvGrpSpPr/>
      </xdr:nvGrpSpPr>
      <xdr:grpSpPr>
        <a:xfrm>
          <a:off x="1164894" y="7643100"/>
          <a:ext cx="0" cy="6350"/>
          <a:chOff x="0" y="0"/>
          <a:chExt cx="0" cy="6350"/>
        </a:xfrm>
      </xdr:grpSpPr>
      <xdr:sp macro="" textlink="">
        <xdr:nvSpPr>
          <xdr:cNvPr id="31" name="Shape 38">
            <a:extLst>
              <a:ext uri="{FF2B5EF4-FFF2-40B4-BE49-F238E27FC236}">
                <a16:creationId xmlns:a16="http://schemas.microsoft.com/office/drawing/2014/main" id="{00000000-0008-0000-1700-00001F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32" name="Shape 39">
            <a:extLst>
              <a:ext uri="{FF2B5EF4-FFF2-40B4-BE49-F238E27FC236}">
                <a16:creationId xmlns:a16="http://schemas.microsoft.com/office/drawing/2014/main" id="{00000000-0008-0000-1700-000020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absoluteAnchor>
  <xdr:absoluteAnchor>
    <xdr:pos x="3235881" y="7643100"/>
    <xdr:ext cx="0" cy="6350"/>
    <xdr:grpSp>
      <xdr:nvGrpSpPr>
        <xdr:cNvPr id="33" name="Group 40">
          <a:extLst>
            <a:ext uri="{FF2B5EF4-FFF2-40B4-BE49-F238E27FC236}">
              <a16:creationId xmlns:a16="http://schemas.microsoft.com/office/drawing/2014/main" id="{00000000-0008-0000-1700-000021000000}"/>
            </a:ext>
          </a:extLst>
        </xdr:cNvPr>
        <xdr:cNvGrpSpPr/>
      </xdr:nvGrpSpPr>
      <xdr:grpSpPr>
        <a:xfrm>
          <a:off x="3235881" y="7643100"/>
          <a:ext cx="0" cy="6350"/>
          <a:chOff x="0" y="0"/>
          <a:chExt cx="0" cy="6350"/>
        </a:xfrm>
      </xdr:grpSpPr>
      <xdr:sp macro="" textlink="">
        <xdr:nvSpPr>
          <xdr:cNvPr id="34" name="Shape 41">
            <a:extLst>
              <a:ext uri="{FF2B5EF4-FFF2-40B4-BE49-F238E27FC236}">
                <a16:creationId xmlns:a16="http://schemas.microsoft.com/office/drawing/2014/main" id="{00000000-0008-0000-1700-000022000000}"/>
              </a:ext>
            </a:extLst>
          </xdr:cNvPr>
          <xdr:cNvSpPr/>
        </xdr:nvSpPr>
        <xdr:spPr>
          <a:xfrm>
            <a:off x="3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35" name="Shape 42">
            <a:extLst>
              <a:ext uri="{FF2B5EF4-FFF2-40B4-BE49-F238E27FC236}">
                <a16:creationId xmlns:a16="http://schemas.microsoft.com/office/drawing/2014/main" id="{00000000-0008-0000-1700-000023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absoluteAnchor>
  <xdr:absoluteAnchor>
    <xdr:pos x="3794867" y="7643100"/>
    <xdr:ext cx="0" cy="6350"/>
    <xdr:grpSp>
      <xdr:nvGrpSpPr>
        <xdr:cNvPr id="36" name="Group 43">
          <a:extLst>
            <a:ext uri="{FF2B5EF4-FFF2-40B4-BE49-F238E27FC236}">
              <a16:creationId xmlns:a16="http://schemas.microsoft.com/office/drawing/2014/main" id="{00000000-0008-0000-1700-000024000000}"/>
            </a:ext>
          </a:extLst>
        </xdr:cNvPr>
        <xdr:cNvGrpSpPr/>
      </xdr:nvGrpSpPr>
      <xdr:grpSpPr>
        <a:xfrm>
          <a:off x="3794867" y="7643100"/>
          <a:ext cx="0" cy="6350"/>
          <a:chOff x="0" y="0"/>
          <a:chExt cx="0" cy="6350"/>
        </a:xfrm>
      </xdr:grpSpPr>
      <xdr:sp macro="" textlink="">
        <xdr:nvSpPr>
          <xdr:cNvPr id="37" name="Shape 44">
            <a:extLst>
              <a:ext uri="{FF2B5EF4-FFF2-40B4-BE49-F238E27FC236}">
                <a16:creationId xmlns:a16="http://schemas.microsoft.com/office/drawing/2014/main" id="{00000000-0008-0000-1700-000025000000}"/>
              </a:ext>
            </a:extLst>
          </xdr:cNvPr>
          <xdr:cNvSpPr/>
        </xdr:nvSpPr>
        <xdr:spPr>
          <a:xfrm>
            <a:off x="3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38" name="Shape 45">
            <a:extLst>
              <a:ext uri="{FF2B5EF4-FFF2-40B4-BE49-F238E27FC236}">
                <a16:creationId xmlns:a16="http://schemas.microsoft.com/office/drawing/2014/main" id="{00000000-0008-0000-1700-000026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absoluteAnchor>
  <xdr:absoluteAnchor>
    <xdr:pos x="4353855" y="7643100"/>
    <xdr:ext cx="0" cy="6350"/>
    <xdr:grpSp>
      <xdr:nvGrpSpPr>
        <xdr:cNvPr id="39" name="Group 46">
          <a:extLst>
            <a:ext uri="{FF2B5EF4-FFF2-40B4-BE49-F238E27FC236}">
              <a16:creationId xmlns:a16="http://schemas.microsoft.com/office/drawing/2014/main" id="{00000000-0008-0000-1700-000027000000}"/>
            </a:ext>
          </a:extLst>
        </xdr:cNvPr>
        <xdr:cNvGrpSpPr/>
      </xdr:nvGrpSpPr>
      <xdr:grpSpPr>
        <a:xfrm>
          <a:off x="4353855" y="7643100"/>
          <a:ext cx="0" cy="6350"/>
          <a:chOff x="0" y="0"/>
          <a:chExt cx="0" cy="6350"/>
        </a:xfrm>
      </xdr:grpSpPr>
      <xdr:sp macro="" textlink="">
        <xdr:nvSpPr>
          <xdr:cNvPr id="40" name="Shape 47">
            <a:extLst>
              <a:ext uri="{FF2B5EF4-FFF2-40B4-BE49-F238E27FC236}">
                <a16:creationId xmlns:a16="http://schemas.microsoft.com/office/drawing/2014/main" id="{00000000-0008-0000-1700-000028000000}"/>
              </a:ext>
            </a:extLst>
          </xdr:cNvPr>
          <xdr:cNvSpPr/>
        </xdr:nvSpPr>
        <xdr:spPr>
          <a:xfrm>
            <a:off x="2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41" name="Shape 48">
            <a:extLst>
              <a:ext uri="{FF2B5EF4-FFF2-40B4-BE49-F238E27FC236}">
                <a16:creationId xmlns:a16="http://schemas.microsoft.com/office/drawing/2014/main" id="{00000000-0008-0000-1700-000029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absoluteAnchor>
  <xdr:absoluteAnchor>
    <xdr:pos x="4912842" y="7643100"/>
    <xdr:ext cx="0" cy="6350"/>
    <xdr:grpSp>
      <xdr:nvGrpSpPr>
        <xdr:cNvPr id="42" name="Group 49">
          <a:extLst>
            <a:ext uri="{FF2B5EF4-FFF2-40B4-BE49-F238E27FC236}">
              <a16:creationId xmlns:a16="http://schemas.microsoft.com/office/drawing/2014/main" id="{00000000-0008-0000-1700-00002A000000}"/>
            </a:ext>
          </a:extLst>
        </xdr:cNvPr>
        <xdr:cNvGrpSpPr/>
      </xdr:nvGrpSpPr>
      <xdr:grpSpPr>
        <a:xfrm>
          <a:off x="4912842" y="7643100"/>
          <a:ext cx="0" cy="6350"/>
          <a:chOff x="0" y="0"/>
          <a:chExt cx="0" cy="6350"/>
        </a:xfrm>
      </xdr:grpSpPr>
      <xdr:sp macro="" textlink="">
        <xdr:nvSpPr>
          <xdr:cNvPr id="43" name="Shape 50">
            <a:extLst>
              <a:ext uri="{FF2B5EF4-FFF2-40B4-BE49-F238E27FC236}">
                <a16:creationId xmlns:a16="http://schemas.microsoft.com/office/drawing/2014/main" id="{00000000-0008-0000-1700-00002B000000}"/>
              </a:ext>
            </a:extLst>
          </xdr:cNvPr>
          <xdr:cNvSpPr/>
        </xdr:nvSpPr>
        <xdr:spPr>
          <a:xfrm>
            <a:off x="3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44" name="Shape 51">
            <a:extLst>
              <a:ext uri="{FF2B5EF4-FFF2-40B4-BE49-F238E27FC236}">
                <a16:creationId xmlns:a16="http://schemas.microsoft.com/office/drawing/2014/main" id="{00000000-0008-0000-1700-00002C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absoluteAnchor>
  <xdr:absoluteAnchor>
    <xdr:pos x="5471829" y="7643100"/>
    <xdr:ext cx="0" cy="6350"/>
    <xdr:grpSp>
      <xdr:nvGrpSpPr>
        <xdr:cNvPr id="45" name="Group 52">
          <a:extLst>
            <a:ext uri="{FF2B5EF4-FFF2-40B4-BE49-F238E27FC236}">
              <a16:creationId xmlns:a16="http://schemas.microsoft.com/office/drawing/2014/main" id="{00000000-0008-0000-1700-00002D000000}"/>
            </a:ext>
          </a:extLst>
        </xdr:cNvPr>
        <xdr:cNvGrpSpPr/>
      </xdr:nvGrpSpPr>
      <xdr:grpSpPr>
        <a:xfrm>
          <a:off x="5471829" y="7643100"/>
          <a:ext cx="0" cy="6350"/>
          <a:chOff x="0" y="0"/>
          <a:chExt cx="0" cy="6350"/>
        </a:xfrm>
      </xdr:grpSpPr>
      <xdr:sp macro="" textlink="">
        <xdr:nvSpPr>
          <xdr:cNvPr id="46" name="Shape 53">
            <a:extLst>
              <a:ext uri="{FF2B5EF4-FFF2-40B4-BE49-F238E27FC236}">
                <a16:creationId xmlns:a16="http://schemas.microsoft.com/office/drawing/2014/main" id="{00000000-0008-0000-1700-00002E000000}"/>
              </a:ext>
            </a:extLst>
          </xdr:cNvPr>
          <xdr:cNvSpPr/>
        </xdr:nvSpPr>
        <xdr:spPr>
          <a:xfrm>
            <a:off x="3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47" name="Shape 54">
            <a:extLst>
              <a:ext uri="{FF2B5EF4-FFF2-40B4-BE49-F238E27FC236}">
                <a16:creationId xmlns:a16="http://schemas.microsoft.com/office/drawing/2014/main" id="{00000000-0008-0000-1700-00002F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absoluteAnchor>
  <xdr:twoCellAnchor editAs="oneCell">
    <xdr:from>
      <xdr:col>4</xdr:col>
      <xdr:colOff>3731</xdr:colOff>
      <xdr:row>9</xdr:row>
      <xdr:rowOff>0</xdr:rowOff>
    </xdr:from>
    <xdr:to>
      <xdr:col>4</xdr:col>
      <xdr:colOff>3731</xdr:colOff>
      <xdr:row>9</xdr:row>
      <xdr:rowOff>6350</xdr:rowOff>
    </xdr:to>
    <xdr:grpSp>
      <xdr:nvGrpSpPr>
        <xdr:cNvPr id="48" name="Group 55">
          <a:extLst>
            <a:ext uri="{FF2B5EF4-FFF2-40B4-BE49-F238E27FC236}">
              <a16:creationId xmlns:a16="http://schemas.microsoft.com/office/drawing/2014/main" id="{00000000-0008-0000-1700-000030000000}"/>
            </a:ext>
          </a:extLst>
        </xdr:cNvPr>
        <xdr:cNvGrpSpPr/>
      </xdr:nvGrpSpPr>
      <xdr:grpSpPr>
        <a:xfrm>
          <a:off x="6909356" y="2428875"/>
          <a:ext cx="0" cy="6350"/>
          <a:chOff x="0" y="0"/>
          <a:chExt cx="0" cy="6350"/>
        </a:xfrm>
      </xdr:grpSpPr>
      <xdr:sp macro="" textlink="">
        <xdr:nvSpPr>
          <xdr:cNvPr id="49" name="Shape 56">
            <a:extLst>
              <a:ext uri="{FF2B5EF4-FFF2-40B4-BE49-F238E27FC236}">
                <a16:creationId xmlns:a16="http://schemas.microsoft.com/office/drawing/2014/main" id="{00000000-0008-0000-1700-000031000000}"/>
              </a:ext>
            </a:extLst>
          </xdr:cNvPr>
          <xdr:cNvSpPr/>
        </xdr:nvSpPr>
        <xdr:spPr>
          <a:xfrm>
            <a:off x="3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50" name="Shape 57">
            <a:extLst>
              <a:ext uri="{FF2B5EF4-FFF2-40B4-BE49-F238E27FC236}">
                <a16:creationId xmlns:a16="http://schemas.microsoft.com/office/drawing/2014/main" id="{00000000-0008-0000-1700-000032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twoCellAnchor>
  <xdr:twoCellAnchor editAs="oneCell">
    <xdr:from>
      <xdr:col>5</xdr:col>
      <xdr:colOff>3917</xdr:colOff>
      <xdr:row>9</xdr:row>
      <xdr:rowOff>0</xdr:rowOff>
    </xdr:from>
    <xdr:to>
      <xdr:col>5</xdr:col>
      <xdr:colOff>3917</xdr:colOff>
      <xdr:row>9</xdr:row>
      <xdr:rowOff>6350</xdr:rowOff>
    </xdr:to>
    <xdr:grpSp>
      <xdr:nvGrpSpPr>
        <xdr:cNvPr id="51" name="Group 58">
          <a:extLst>
            <a:ext uri="{FF2B5EF4-FFF2-40B4-BE49-F238E27FC236}">
              <a16:creationId xmlns:a16="http://schemas.microsoft.com/office/drawing/2014/main" id="{00000000-0008-0000-1700-000033000000}"/>
            </a:ext>
          </a:extLst>
        </xdr:cNvPr>
        <xdr:cNvGrpSpPr/>
      </xdr:nvGrpSpPr>
      <xdr:grpSpPr>
        <a:xfrm>
          <a:off x="7471517" y="2428875"/>
          <a:ext cx="0" cy="6350"/>
          <a:chOff x="0" y="0"/>
          <a:chExt cx="0" cy="6350"/>
        </a:xfrm>
      </xdr:grpSpPr>
      <xdr:sp macro="" textlink="">
        <xdr:nvSpPr>
          <xdr:cNvPr id="52" name="Shape 59">
            <a:extLst>
              <a:ext uri="{FF2B5EF4-FFF2-40B4-BE49-F238E27FC236}">
                <a16:creationId xmlns:a16="http://schemas.microsoft.com/office/drawing/2014/main" id="{00000000-0008-0000-1700-000034000000}"/>
              </a:ext>
            </a:extLst>
          </xdr:cNvPr>
          <xdr:cNvSpPr/>
        </xdr:nvSpPr>
        <xdr:spPr>
          <a:xfrm>
            <a:off x="3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53" name="Shape 60">
            <a:extLst>
              <a:ext uri="{FF2B5EF4-FFF2-40B4-BE49-F238E27FC236}">
                <a16:creationId xmlns:a16="http://schemas.microsoft.com/office/drawing/2014/main" id="{00000000-0008-0000-1700-000035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twoCellAnchor>
  <xdr:twoCellAnchor editAs="oneCell">
    <xdr:from>
      <xdr:col>6</xdr:col>
      <xdr:colOff>4105</xdr:colOff>
      <xdr:row>8</xdr:row>
      <xdr:rowOff>257169</xdr:rowOff>
    </xdr:from>
    <xdr:to>
      <xdr:col>6</xdr:col>
      <xdr:colOff>4105</xdr:colOff>
      <xdr:row>9</xdr:row>
      <xdr:rowOff>6344</xdr:rowOff>
    </xdr:to>
    <xdr:grpSp>
      <xdr:nvGrpSpPr>
        <xdr:cNvPr id="54" name="Group 61">
          <a:extLst>
            <a:ext uri="{FF2B5EF4-FFF2-40B4-BE49-F238E27FC236}">
              <a16:creationId xmlns:a16="http://schemas.microsoft.com/office/drawing/2014/main" id="{00000000-0008-0000-1700-000036000000}"/>
            </a:ext>
          </a:extLst>
        </xdr:cNvPr>
        <xdr:cNvGrpSpPr/>
      </xdr:nvGrpSpPr>
      <xdr:grpSpPr>
        <a:xfrm>
          <a:off x="8033680" y="2428869"/>
          <a:ext cx="0" cy="6350"/>
          <a:chOff x="0" y="0"/>
          <a:chExt cx="0" cy="6350"/>
        </a:xfrm>
      </xdr:grpSpPr>
      <xdr:sp macro="" textlink="">
        <xdr:nvSpPr>
          <xdr:cNvPr id="55" name="Shape 62">
            <a:extLst>
              <a:ext uri="{FF2B5EF4-FFF2-40B4-BE49-F238E27FC236}">
                <a16:creationId xmlns:a16="http://schemas.microsoft.com/office/drawing/2014/main" id="{00000000-0008-0000-1700-000037000000}"/>
              </a:ext>
            </a:extLst>
          </xdr:cNvPr>
          <xdr:cNvSpPr/>
        </xdr:nvSpPr>
        <xdr:spPr>
          <a:xfrm>
            <a:off x="2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56" name="Shape 63">
            <a:extLst>
              <a:ext uri="{FF2B5EF4-FFF2-40B4-BE49-F238E27FC236}">
                <a16:creationId xmlns:a16="http://schemas.microsoft.com/office/drawing/2014/main" id="{00000000-0008-0000-1700-000038000000}"/>
              </a:ext>
            </a:extLst>
          </xdr:cNvPr>
          <xdr:cNvSpPr/>
        </xdr:nvSpPr>
        <xdr:spPr>
          <a:xfrm>
            <a:off x="0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57" name="Shape 64">
            <a:extLst>
              <a:ext uri="{FF2B5EF4-FFF2-40B4-BE49-F238E27FC236}">
                <a16:creationId xmlns:a16="http://schemas.microsoft.com/office/drawing/2014/main" id="{00000000-0008-0000-1700-000039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twoCellAnchor>
  <xdr:twoCellAnchor editAs="oneCell">
    <xdr:from>
      <xdr:col>7</xdr:col>
      <xdr:colOff>4292</xdr:colOff>
      <xdr:row>9</xdr:row>
      <xdr:rowOff>0</xdr:rowOff>
    </xdr:from>
    <xdr:to>
      <xdr:col>7</xdr:col>
      <xdr:colOff>4292</xdr:colOff>
      <xdr:row>9</xdr:row>
      <xdr:rowOff>6350</xdr:rowOff>
    </xdr:to>
    <xdr:grpSp>
      <xdr:nvGrpSpPr>
        <xdr:cNvPr id="58" name="Group 65">
          <a:extLst>
            <a:ext uri="{FF2B5EF4-FFF2-40B4-BE49-F238E27FC236}">
              <a16:creationId xmlns:a16="http://schemas.microsoft.com/office/drawing/2014/main" id="{00000000-0008-0000-1700-00003A000000}"/>
            </a:ext>
          </a:extLst>
        </xdr:cNvPr>
        <xdr:cNvGrpSpPr/>
      </xdr:nvGrpSpPr>
      <xdr:grpSpPr>
        <a:xfrm>
          <a:off x="8595842" y="2428875"/>
          <a:ext cx="0" cy="6350"/>
          <a:chOff x="0" y="0"/>
          <a:chExt cx="0" cy="6350"/>
        </a:xfrm>
      </xdr:grpSpPr>
      <xdr:sp macro="" textlink="">
        <xdr:nvSpPr>
          <xdr:cNvPr id="59" name="Shape 66">
            <a:extLst>
              <a:ext uri="{FF2B5EF4-FFF2-40B4-BE49-F238E27FC236}">
                <a16:creationId xmlns:a16="http://schemas.microsoft.com/office/drawing/2014/main" id="{00000000-0008-0000-1700-00003B000000}"/>
              </a:ext>
            </a:extLst>
          </xdr:cNvPr>
          <xdr:cNvSpPr/>
        </xdr:nvSpPr>
        <xdr:spPr>
          <a:xfrm>
            <a:off x="3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60" name="Shape 67">
            <a:extLst>
              <a:ext uri="{FF2B5EF4-FFF2-40B4-BE49-F238E27FC236}">
                <a16:creationId xmlns:a16="http://schemas.microsoft.com/office/drawing/2014/main" id="{00000000-0008-0000-1700-00003C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twoCellAnchor>
  <xdr:twoCellAnchor editAs="oneCell">
    <xdr:from>
      <xdr:col>8</xdr:col>
      <xdr:colOff>4479</xdr:colOff>
      <xdr:row>9</xdr:row>
      <xdr:rowOff>0</xdr:rowOff>
    </xdr:from>
    <xdr:to>
      <xdr:col>8</xdr:col>
      <xdr:colOff>4479</xdr:colOff>
      <xdr:row>9</xdr:row>
      <xdr:rowOff>6350</xdr:rowOff>
    </xdr:to>
    <xdr:grpSp>
      <xdr:nvGrpSpPr>
        <xdr:cNvPr id="61" name="Group 68">
          <a:extLst>
            <a:ext uri="{FF2B5EF4-FFF2-40B4-BE49-F238E27FC236}">
              <a16:creationId xmlns:a16="http://schemas.microsoft.com/office/drawing/2014/main" id="{00000000-0008-0000-1700-00003D000000}"/>
            </a:ext>
          </a:extLst>
        </xdr:cNvPr>
        <xdr:cNvGrpSpPr/>
      </xdr:nvGrpSpPr>
      <xdr:grpSpPr>
        <a:xfrm>
          <a:off x="9158004" y="2428875"/>
          <a:ext cx="0" cy="6350"/>
          <a:chOff x="0" y="0"/>
          <a:chExt cx="0" cy="6350"/>
        </a:xfrm>
      </xdr:grpSpPr>
      <xdr:sp macro="" textlink="">
        <xdr:nvSpPr>
          <xdr:cNvPr id="62" name="Shape 69">
            <a:extLst>
              <a:ext uri="{FF2B5EF4-FFF2-40B4-BE49-F238E27FC236}">
                <a16:creationId xmlns:a16="http://schemas.microsoft.com/office/drawing/2014/main" id="{00000000-0008-0000-1700-00003E000000}"/>
              </a:ext>
            </a:extLst>
          </xdr:cNvPr>
          <xdr:cNvSpPr/>
        </xdr:nvSpPr>
        <xdr:spPr>
          <a:xfrm>
            <a:off x="3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63" name="Shape 70">
            <a:extLst>
              <a:ext uri="{FF2B5EF4-FFF2-40B4-BE49-F238E27FC236}">
                <a16:creationId xmlns:a16="http://schemas.microsoft.com/office/drawing/2014/main" id="{00000000-0008-0000-1700-00003F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twoCellAnchor>
  <xdr:absoluteAnchor>
    <xdr:pos x="6030819" y="269875"/>
    <xdr:ext cx="0" cy="0"/>
    <xdr:sp macro="" textlink="">
      <xdr:nvSpPr>
        <xdr:cNvPr id="64" name="Shape 71">
          <a:extLst>
            <a:ext uri="{FF2B5EF4-FFF2-40B4-BE49-F238E27FC236}">
              <a16:creationId xmlns:a16="http://schemas.microsoft.com/office/drawing/2014/main" id="{00000000-0008-0000-1700-000040000000}"/>
            </a:ext>
          </a:extLst>
        </xdr:cNvPr>
        <xdr:cNvSpPr/>
      </xdr:nvSpPr>
      <xdr:spPr>
        <a:xfrm>
          <a:off x="6030819" y="269875"/>
          <a:ext cx="0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absoluteAnchor>
  <xdr:absoluteAnchor>
    <xdr:pos x="6030819" y="394075"/>
    <xdr:ext cx="0" cy="0"/>
    <xdr:sp macro="" textlink="">
      <xdr:nvSpPr>
        <xdr:cNvPr id="65" name="Shape 72">
          <a:extLst>
            <a:ext uri="{FF2B5EF4-FFF2-40B4-BE49-F238E27FC236}">
              <a16:creationId xmlns:a16="http://schemas.microsoft.com/office/drawing/2014/main" id="{00000000-0008-0000-1700-000041000000}"/>
            </a:ext>
          </a:extLst>
        </xdr:cNvPr>
        <xdr:cNvSpPr/>
      </xdr:nvSpPr>
      <xdr:spPr>
        <a:xfrm>
          <a:off x="6030819" y="394075"/>
          <a:ext cx="0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absoluteAnchor>
  <xdr:oneCellAnchor>
    <xdr:from>
      <xdr:col>3</xdr:col>
      <xdr:colOff>465702</xdr:colOff>
      <xdr:row>8</xdr:row>
      <xdr:rowOff>252944</xdr:rowOff>
    </xdr:from>
    <xdr:ext cx="0" cy="6350"/>
    <xdr:grpSp>
      <xdr:nvGrpSpPr>
        <xdr:cNvPr id="66" name="Group 25">
          <a:extLst>
            <a:ext uri="{FF2B5EF4-FFF2-40B4-BE49-F238E27FC236}">
              <a16:creationId xmlns:a16="http://schemas.microsoft.com/office/drawing/2014/main" id="{00000000-0008-0000-1700-000042000000}"/>
            </a:ext>
          </a:extLst>
        </xdr:cNvPr>
        <xdr:cNvGrpSpPr/>
      </xdr:nvGrpSpPr>
      <xdr:grpSpPr>
        <a:xfrm>
          <a:off x="6809352" y="2424644"/>
          <a:ext cx="0" cy="6350"/>
          <a:chOff x="0" y="0"/>
          <a:chExt cx="0" cy="6350"/>
        </a:xfrm>
      </xdr:grpSpPr>
      <xdr:sp macro="" textlink="">
        <xdr:nvSpPr>
          <xdr:cNvPr id="67" name="Shape 26">
            <a:extLst>
              <a:ext uri="{FF2B5EF4-FFF2-40B4-BE49-F238E27FC236}">
                <a16:creationId xmlns:a16="http://schemas.microsoft.com/office/drawing/2014/main" id="{00000000-0008-0000-1700-000043000000}"/>
              </a:ext>
            </a:extLst>
          </xdr:cNvPr>
          <xdr:cNvSpPr/>
        </xdr:nvSpPr>
        <xdr:spPr>
          <a:xfrm>
            <a:off x="6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68" name="Shape 27">
            <a:extLst>
              <a:ext uri="{FF2B5EF4-FFF2-40B4-BE49-F238E27FC236}">
                <a16:creationId xmlns:a16="http://schemas.microsoft.com/office/drawing/2014/main" id="{00000000-0008-0000-1700-000044000000}"/>
              </a:ext>
            </a:extLst>
          </xdr:cNvPr>
          <xdr:cNvSpPr/>
        </xdr:nvSpPr>
        <xdr:spPr>
          <a:xfrm>
            <a:off x="0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69" name="Shape 28">
            <a:extLst>
              <a:ext uri="{FF2B5EF4-FFF2-40B4-BE49-F238E27FC236}">
                <a16:creationId xmlns:a16="http://schemas.microsoft.com/office/drawing/2014/main" id="{00000000-0008-0000-1700-000045000000}"/>
              </a:ext>
            </a:extLst>
          </xdr:cNvPr>
          <xdr:cNvSpPr/>
        </xdr:nvSpPr>
        <xdr:spPr>
          <a:xfrm>
            <a:off x="6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4</xdr:col>
      <xdr:colOff>465673</xdr:colOff>
      <xdr:row>9</xdr:row>
      <xdr:rowOff>1007</xdr:rowOff>
    </xdr:from>
    <xdr:ext cx="0" cy="6350"/>
    <xdr:grpSp>
      <xdr:nvGrpSpPr>
        <xdr:cNvPr id="70" name="Group 29">
          <a:extLst>
            <a:ext uri="{FF2B5EF4-FFF2-40B4-BE49-F238E27FC236}">
              <a16:creationId xmlns:a16="http://schemas.microsoft.com/office/drawing/2014/main" id="{00000000-0008-0000-1700-000046000000}"/>
            </a:ext>
          </a:extLst>
        </xdr:cNvPr>
        <xdr:cNvGrpSpPr/>
      </xdr:nvGrpSpPr>
      <xdr:grpSpPr>
        <a:xfrm>
          <a:off x="7371298" y="2429882"/>
          <a:ext cx="0" cy="6350"/>
          <a:chOff x="0" y="0"/>
          <a:chExt cx="0" cy="6350"/>
        </a:xfrm>
      </xdr:grpSpPr>
      <xdr:sp macro="" textlink="">
        <xdr:nvSpPr>
          <xdr:cNvPr id="71" name="Shape 30">
            <a:extLst>
              <a:ext uri="{FF2B5EF4-FFF2-40B4-BE49-F238E27FC236}">
                <a16:creationId xmlns:a16="http://schemas.microsoft.com/office/drawing/2014/main" id="{00000000-0008-0000-1700-000047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72" name="Shape 31">
            <a:extLst>
              <a:ext uri="{FF2B5EF4-FFF2-40B4-BE49-F238E27FC236}">
                <a16:creationId xmlns:a16="http://schemas.microsoft.com/office/drawing/2014/main" id="{00000000-0008-0000-1700-000048000000}"/>
              </a:ext>
            </a:extLst>
          </xdr:cNvPr>
          <xdr:cNvSpPr/>
        </xdr:nvSpPr>
        <xdr:spPr>
          <a:xfrm>
            <a:off x="5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5</xdr:col>
      <xdr:colOff>464875</xdr:colOff>
      <xdr:row>8</xdr:row>
      <xdr:rowOff>252944</xdr:rowOff>
    </xdr:from>
    <xdr:ext cx="635" cy="6350"/>
    <xdr:grpSp>
      <xdr:nvGrpSpPr>
        <xdr:cNvPr id="73" name="Group 32">
          <a:extLst>
            <a:ext uri="{FF2B5EF4-FFF2-40B4-BE49-F238E27FC236}">
              <a16:creationId xmlns:a16="http://schemas.microsoft.com/office/drawing/2014/main" id="{00000000-0008-0000-1700-000049000000}"/>
            </a:ext>
          </a:extLst>
        </xdr:cNvPr>
        <xdr:cNvGrpSpPr/>
      </xdr:nvGrpSpPr>
      <xdr:grpSpPr>
        <a:xfrm>
          <a:off x="7932475" y="2424644"/>
          <a:ext cx="635" cy="6350"/>
          <a:chOff x="0" y="0"/>
          <a:chExt cx="635" cy="6350"/>
        </a:xfrm>
      </xdr:grpSpPr>
      <xdr:sp macro="" textlink="">
        <xdr:nvSpPr>
          <xdr:cNvPr id="74" name="Shape 33">
            <a:extLst>
              <a:ext uri="{FF2B5EF4-FFF2-40B4-BE49-F238E27FC236}">
                <a16:creationId xmlns:a16="http://schemas.microsoft.com/office/drawing/2014/main" id="{00000000-0008-0000-1700-00004A000000}"/>
              </a:ext>
            </a:extLst>
          </xdr:cNvPr>
          <xdr:cNvSpPr/>
        </xdr:nvSpPr>
        <xdr:spPr>
          <a:xfrm>
            <a:off x="6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75" name="Shape 34">
            <a:extLst>
              <a:ext uri="{FF2B5EF4-FFF2-40B4-BE49-F238E27FC236}">
                <a16:creationId xmlns:a16="http://schemas.microsoft.com/office/drawing/2014/main" id="{00000000-0008-0000-1700-00004B000000}"/>
              </a:ext>
            </a:extLst>
          </xdr:cNvPr>
          <xdr:cNvSpPr/>
        </xdr:nvSpPr>
        <xdr:spPr>
          <a:xfrm>
            <a:off x="0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76" name="Shape 35">
            <a:extLst>
              <a:ext uri="{FF2B5EF4-FFF2-40B4-BE49-F238E27FC236}">
                <a16:creationId xmlns:a16="http://schemas.microsoft.com/office/drawing/2014/main" id="{00000000-0008-0000-1700-00004C000000}"/>
              </a:ext>
            </a:extLst>
          </xdr:cNvPr>
          <xdr:cNvSpPr/>
        </xdr:nvSpPr>
        <xdr:spPr>
          <a:xfrm>
            <a:off x="6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6</xdr:col>
      <xdr:colOff>464462</xdr:colOff>
      <xdr:row>8</xdr:row>
      <xdr:rowOff>252949</xdr:rowOff>
    </xdr:from>
    <xdr:ext cx="0" cy="6350"/>
    <xdr:grpSp>
      <xdr:nvGrpSpPr>
        <xdr:cNvPr id="77" name="Group 36">
          <a:extLst>
            <a:ext uri="{FF2B5EF4-FFF2-40B4-BE49-F238E27FC236}">
              <a16:creationId xmlns:a16="http://schemas.microsoft.com/office/drawing/2014/main" id="{00000000-0008-0000-1700-00004D000000}"/>
            </a:ext>
          </a:extLst>
        </xdr:cNvPr>
        <xdr:cNvGrpSpPr/>
      </xdr:nvGrpSpPr>
      <xdr:grpSpPr>
        <a:xfrm>
          <a:off x="8494037" y="2424649"/>
          <a:ext cx="0" cy="6350"/>
          <a:chOff x="0" y="0"/>
          <a:chExt cx="0" cy="6350"/>
        </a:xfrm>
      </xdr:grpSpPr>
      <xdr:sp macro="" textlink="">
        <xdr:nvSpPr>
          <xdr:cNvPr id="78" name="Shape 37">
            <a:extLst>
              <a:ext uri="{FF2B5EF4-FFF2-40B4-BE49-F238E27FC236}">
                <a16:creationId xmlns:a16="http://schemas.microsoft.com/office/drawing/2014/main" id="{00000000-0008-0000-1700-00004E000000}"/>
              </a:ext>
            </a:extLst>
          </xdr:cNvPr>
          <xdr:cNvSpPr/>
        </xdr:nvSpPr>
        <xdr:spPr>
          <a:xfrm>
            <a:off x="5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79" name="Shape 38">
            <a:extLst>
              <a:ext uri="{FF2B5EF4-FFF2-40B4-BE49-F238E27FC236}">
                <a16:creationId xmlns:a16="http://schemas.microsoft.com/office/drawing/2014/main" id="{00000000-0008-0000-1700-00004F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7</xdr:col>
      <xdr:colOff>464049</xdr:colOff>
      <xdr:row>8</xdr:row>
      <xdr:rowOff>252944</xdr:rowOff>
    </xdr:from>
    <xdr:ext cx="0" cy="6350"/>
    <xdr:grpSp>
      <xdr:nvGrpSpPr>
        <xdr:cNvPr id="80" name="Group 39">
          <a:extLst>
            <a:ext uri="{FF2B5EF4-FFF2-40B4-BE49-F238E27FC236}">
              <a16:creationId xmlns:a16="http://schemas.microsoft.com/office/drawing/2014/main" id="{00000000-0008-0000-1700-000050000000}"/>
            </a:ext>
          </a:extLst>
        </xdr:cNvPr>
        <xdr:cNvGrpSpPr/>
      </xdr:nvGrpSpPr>
      <xdr:grpSpPr>
        <a:xfrm>
          <a:off x="9055599" y="2424644"/>
          <a:ext cx="0" cy="6350"/>
          <a:chOff x="0" y="0"/>
          <a:chExt cx="0" cy="6350"/>
        </a:xfrm>
      </xdr:grpSpPr>
      <xdr:sp macro="" textlink="">
        <xdr:nvSpPr>
          <xdr:cNvPr id="81" name="Shape 40">
            <a:extLst>
              <a:ext uri="{FF2B5EF4-FFF2-40B4-BE49-F238E27FC236}">
                <a16:creationId xmlns:a16="http://schemas.microsoft.com/office/drawing/2014/main" id="{00000000-0008-0000-1700-000051000000}"/>
              </a:ext>
            </a:extLst>
          </xdr:cNvPr>
          <xdr:cNvSpPr/>
        </xdr:nvSpPr>
        <xdr:spPr>
          <a:xfrm>
            <a:off x="0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82" name="Shape 41">
            <a:extLst>
              <a:ext uri="{FF2B5EF4-FFF2-40B4-BE49-F238E27FC236}">
                <a16:creationId xmlns:a16="http://schemas.microsoft.com/office/drawing/2014/main" id="{00000000-0008-0000-1700-000052000000}"/>
              </a:ext>
            </a:extLst>
          </xdr:cNvPr>
          <xdr:cNvSpPr/>
        </xdr:nvSpPr>
        <xdr:spPr>
          <a:xfrm>
            <a:off x="6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83" name="Shape 42">
            <a:extLst>
              <a:ext uri="{FF2B5EF4-FFF2-40B4-BE49-F238E27FC236}">
                <a16:creationId xmlns:a16="http://schemas.microsoft.com/office/drawing/2014/main" id="{00000000-0008-0000-1700-000053000000}"/>
              </a:ext>
            </a:extLst>
          </xdr:cNvPr>
          <xdr:cNvSpPr/>
        </xdr:nvSpPr>
        <xdr:spPr>
          <a:xfrm>
            <a:off x="6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6</xdr:col>
      <xdr:colOff>465672</xdr:colOff>
      <xdr:row>9</xdr:row>
      <xdr:rowOff>1007</xdr:rowOff>
    </xdr:from>
    <xdr:ext cx="0" cy="6350"/>
    <xdr:grpSp>
      <xdr:nvGrpSpPr>
        <xdr:cNvPr id="84" name="Group 43">
          <a:extLst>
            <a:ext uri="{FF2B5EF4-FFF2-40B4-BE49-F238E27FC236}">
              <a16:creationId xmlns:a16="http://schemas.microsoft.com/office/drawing/2014/main" id="{00000000-0008-0000-1700-000054000000}"/>
            </a:ext>
          </a:extLst>
        </xdr:cNvPr>
        <xdr:cNvGrpSpPr/>
      </xdr:nvGrpSpPr>
      <xdr:grpSpPr>
        <a:xfrm>
          <a:off x="8495247" y="2429882"/>
          <a:ext cx="0" cy="6350"/>
          <a:chOff x="0" y="0"/>
          <a:chExt cx="0" cy="6350"/>
        </a:xfrm>
      </xdr:grpSpPr>
      <xdr:sp macro="" textlink="">
        <xdr:nvSpPr>
          <xdr:cNvPr id="85" name="Shape 44">
            <a:extLst>
              <a:ext uri="{FF2B5EF4-FFF2-40B4-BE49-F238E27FC236}">
                <a16:creationId xmlns:a16="http://schemas.microsoft.com/office/drawing/2014/main" id="{00000000-0008-0000-1700-000055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86" name="Shape 45">
            <a:extLst>
              <a:ext uri="{FF2B5EF4-FFF2-40B4-BE49-F238E27FC236}">
                <a16:creationId xmlns:a16="http://schemas.microsoft.com/office/drawing/2014/main" id="{00000000-0008-0000-1700-000056000000}"/>
              </a:ext>
            </a:extLst>
          </xdr:cNvPr>
          <xdr:cNvSpPr/>
        </xdr:nvSpPr>
        <xdr:spPr>
          <a:xfrm>
            <a:off x="5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8</xdr:col>
      <xdr:colOff>463636</xdr:colOff>
      <xdr:row>8</xdr:row>
      <xdr:rowOff>252949</xdr:rowOff>
    </xdr:from>
    <xdr:ext cx="0" cy="6350"/>
    <xdr:grpSp>
      <xdr:nvGrpSpPr>
        <xdr:cNvPr id="87" name="Group 46">
          <a:extLst>
            <a:ext uri="{FF2B5EF4-FFF2-40B4-BE49-F238E27FC236}">
              <a16:creationId xmlns:a16="http://schemas.microsoft.com/office/drawing/2014/main" id="{00000000-0008-0000-1700-000057000000}"/>
            </a:ext>
          </a:extLst>
        </xdr:cNvPr>
        <xdr:cNvGrpSpPr/>
      </xdr:nvGrpSpPr>
      <xdr:grpSpPr>
        <a:xfrm>
          <a:off x="9617161" y="2424649"/>
          <a:ext cx="0" cy="6350"/>
          <a:chOff x="0" y="0"/>
          <a:chExt cx="0" cy="6350"/>
        </a:xfrm>
      </xdr:grpSpPr>
      <xdr:sp macro="" textlink="">
        <xdr:nvSpPr>
          <xdr:cNvPr id="88" name="Shape 47">
            <a:extLst>
              <a:ext uri="{FF2B5EF4-FFF2-40B4-BE49-F238E27FC236}">
                <a16:creationId xmlns:a16="http://schemas.microsoft.com/office/drawing/2014/main" id="{00000000-0008-0000-1700-000058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89" name="Shape 48">
            <a:extLst>
              <a:ext uri="{FF2B5EF4-FFF2-40B4-BE49-F238E27FC236}">
                <a16:creationId xmlns:a16="http://schemas.microsoft.com/office/drawing/2014/main" id="{00000000-0008-0000-1700-000059000000}"/>
              </a:ext>
            </a:extLst>
          </xdr:cNvPr>
          <xdr:cNvSpPr/>
        </xdr:nvSpPr>
        <xdr:spPr>
          <a:xfrm>
            <a:off x="5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8</xdr:col>
      <xdr:colOff>465672</xdr:colOff>
      <xdr:row>9</xdr:row>
      <xdr:rowOff>1007</xdr:rowOff>
    </xdr:from>
    <xdr:ext cx="0" cy="6350"/>
    <xdr:grpSp>
      <xdr:nvGrpSpPr>
        <xdr:cNvPr id="90" name="Group 49">
          <a:extLst>
            <a:ext uri="{FF2B5EF4-FFF2-40B4-BE49-F238E27FC236}">
              <a16:creationId xmlns:a16="http://schemas.microsoft.com/office/drawing/2014/main" id="{00000000-0008-0000-1700-00005A000000}"/>
            </a:ext>
          </a:extLst>
        </xdr:cNvPr>
        <xdr:cNvGrpSpPr/>
      </xdr:nvGrpSpPr>
      <xdr:grpSpPr>
        <a:xfrm>
          <a:off x="9619197" y="2429882"/>
          <a:ext cx="0" cy="6350"/>
          <a:chOff x="0" y="0"/>
          <a:chExt cx="0" cy="6350"/>
        </a:xfrm>
      </xdr:grpSpPr>
      <xdr:sp macro="" textlink="">
        <xdr:nvSpPr>
          <xdr:cNvPr id="91" name="Shape 50">
            <a:extLst>
              <a:ext uri="{FF2B5EF4-FFF2-40B4-BE49-F238E27FC236}">
                <a16:creationId xmlns:a16="http://schemas.microsoft.com/office/drawing/2014/main" id="{00000000-0008-0000-1700-00005B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92" name="Shape 51">
            <a:extLst>
              <a:ext uri="{FF2B5EF4-FFF2-40B4-BE49-F238E27FC236}">
                <a16:creationId xmlns:a16="http://schemas.microsoft.com/office/drawing/2014/main" id="{00000000-0008-0000-1700-00005C000000}"/>
              </a:ext>
            </a:extLst>
          </xdr:cNvPr>
          <xdr:cNvSpPr/>
        </xdr:nvSpPr>
        <xdr:spPr>
          <a:xfrm>
            <a:off x="5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4</xdr:col>
      <xdr:colOff>465289</xdr:colOff>
      <xdr:row>8</xdr:row>
      <xdr:rowOff>252949</xdr:rowOff>
    </xdr:from>
    <xdr:ext cx="0" cy="6350"/>
    <xdr:grpSp>
      <xdr:nvGrpSpPr>
        <xdr:cNvPr id="93" name="Group 52">
          <a:extLst>
            <a:ext uri="{FF2B5EF4-FFF2-40B4-BE49-F238E27FC236}">
              <a16:creationId xmlns:a16="http://schemas.microsoft.com/office/drawing/2014/main" id="{00000000-0008-0000-1700-00005D000000}"/>
            </a:ext>
          </a:extLst>
        </xdr:cNvPr>
        <xdr:cNvGrpSpPr/>
      </xdr:nvGrpSpPr>
      <xdr:grpSpPr>
        <a:xfrm>
          <a:off x="7370914" y="2424649"/>
          <a:ext cx="0" cy="6350"/>
          <a:chOff x="0" y="0"/>
          <a:chExt cx="0" cy="6350"/>
        </a:xfrm>
      </xdr:grpSpPr>
      <xdr:sp macro="" textlink="">
        <xdr:nvSpPr>
          <xdr:cNvPr id="94" name="Shape 53">
            <a:extLst>
              <a:ext uri="{FF2B5EF4-FFF2-40B4-BE49-F238E27FC236}">
                <a16:creationId xmlns:a16="http://schemas.microsoft.com/office/drawing/2014/main" id="{00000000-0008-0000-1700-00005E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95" name="Shape 54">
            <a:extLst>
              <a:ext uri="{FF2B5EF4-FFF2-40B4-BE49-F238E27FC236}">
                <a16:creationId xmlns:a16="http://schemas.microsoft.com/office/drawing/2014/main" id="{00000000-0008-0000-1700-00005F000000}"/>
              </a:ext>
            </a:extLst>
          </xdr:cNvPr>
          <xdr:cNvSpPr/>
        </xdr:nvSpPr>
        <xdr:spPr>
          <a:xfrm>
            <a:off x="5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4</xdr:col>
      <xdr:colOff>465673</xdr:colOff>
      <xdr:row>8</xdr:row>
      <xdr:rowOff>239132</xdr:rowOff>
    </xdr:from>
    <xdr:ext cx="0" cy="6350"/>
    <xdr:grpSp>
      <xdr:nvGrpSpPr>
        <xdr:cNvPr id="96" name="Group 29">
          <a:extLst>
            <a:ext uri="{FF2B5EF4-FFF2-40B4-BE49-F238E27FC236}">
              <a16:creationId xmlns:a16="http://schemas.microsoft.com/office/drawing/2014/main" id="{00000000-0008-0000-1700-000060000000}"/>
            </a:ext>
          </a:extLst>
        </xdr:cNvPr>
        <xdr:cNvGrpSpPr/>
      </xdr:nvGrpSpPr>
      <xdr:grpSpPr>
        <a:xfrm>
          <a:off x="7371298" y="2410832"/>
          <a:ext cx="0" cy="6350"/>
          <a:chOff x="0" y="0"/>
          <a:chExt cx="0" cy="6350"/>
        </a:xfrm>
      </xdr:grpSpPr>
      <xdr:sp macro="" textlink="">
        <xdr:nvSpPr>
          <xdr:cNvPr id="97" name="Shape 30">
            <a:extLst>
              <a:ext uri="{FF2B5EF4-FFF2-40B4-BE49-F238E27FC236}">
                <a16:creationId xmlns:a16="http://schemas.microsoft.com/office/drawing/2014/main" id="{00000000-0008-0000-1700-000061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98" name="Shape 31">
            <a:extLst>
              <a:ext uri="{FF2B5EF4-FFF2-40B4-BE49-F238E27FC236}">
                <a16:creationId xmlns:a16="http://schemas.microsoft.com/office/drawing/2014/main" id="{00000000-0008-0000-1700-000062000000}"/>
              </a:ext>
            </a:extLst>
          </xdr:cNvPr>
          <xdr:cNvSpPr/>
        </xdr:nvSpPr>
        <xdr:spPr>
          <a:xfrm>
            <a:off x="5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2</xdr:col>
      <xdr:colOff>0</xdr:colOff>
      <xdr:row>8</xdr:row>
      <xdr:rowOff>0</xdr:rowOff>
    </xdr:from>
    <xdr:ext cx="635" cy="6350"/>
    <xdr:grpSp>
      <xdr:nvGrpSpPr>
        <xdr:cNvPr id="99" name="Group 32">
          <a:extLst>
            <a:ext uri="{FF2B5EF4-FFF2-40B4-BE49-F238E27FC236}">
              <a16:creationId xmlns:a16="http://schemas.microsoft.com/office/drawing/2014/main" id="{00000000-0008-0000-1700-000063000000}"/>
            </a:ext>
          </a:extLst>
        </xdr:cNvPr>
        <xdr:cNvGrpSpPr/>
      </xdr:nvGrpSpPr>
      <xdr:grpSpPr>
        <a:xfrm>
          <a:off x="2952750" y="2171700"/>
          <a:ext cx="635" cy="6350"/>
          <a:chOff x="0" y="0"/>
          <a:chExt cx="635" cy="6350"/>
        </a:xfrm>
      </xdr:grpSpPr>
      <xdr:sp macro="" textlink="">
        <xdr:nvSpPr>
          <xdr:cNvPr id="100" name="Shape 33">
            <a:extLst>
              <a:ext uri="{FF2B5EF4-FFF2-40B4-BE49-F238E27FC236}">
                <a16:creationId xmlns:a16="http://schemas.microsoft.com/office/drawing/2014/main" id="{00000000-0008-0000-1700-000064000000}"/>
              </a:ext>
            </a:extLst>
          </xdr:cNvPr>
          <xdr:cNvSpPr/>
        </xdr:nvSpPr>
        <xdr:spPr>
          <a:xfrm>
            <a:off x="6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101" name="Shape 34">
            <a:extLst>
              <a:ext uri="{FF2B5EF4-FFF2-40B4-BE49-F238E27FC236}">
                <a16:creationId xmlns:a16="http://schemas.microsoft.com/office/drawing/2014/main" id="{00000000-0008-0000-1700-000065000000}"/>
              </a:ext>
            </a:extLst>
          </xdr:cNvPr>
          <xdr:cNvSpPr/>
        </xdr:nvSpPr>
        <xdr:spPr>
          <a:xfrm>
            <a:off x="0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102" name="Shape 35">
            <a:extLst>
              <a:ext uri="{FF2B5EF4-FFF2-40B4-BE49-F238E27FC236}">
                <a16:creationId xmlns:a16="http://schemas.microsoft.com/office/drawing/2014/main" id="{00000000-0008-0000-1700-000066000000}"/>
              </a:ext>
            </a:extLst>
          </xdr:cNvPr>
          <xdr:cNvSpPr/>
        </xdr:nvSpPr>
        <xdr:spPr>
          <a:xfrm>
            <a:off x="6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2</xdr:col>
      <xdr:colOff>464462</xdr:colOff>
      <xdr:row>8</xdr:row>
      <xdr:rowOff>0</xdr:rowOff>
    </xdr:from>
    <xdr:ext cx="0" cy="6350"/>
    <xdr:grpSp>
      <xdr:nvGrpSpPr>
        <xdr:cNvPr id="103" name="Group 36">
          <a:extLst>
            <a:ext uri="{FF2B5EF4-FFF2-40B4-BE49-F238E27FC236}">
              <a16:creationId xmlns:a16="http://schemas.microsoft.com/office/drawing/2014/main" id="{00000000-0008-0000-1700-000067000000}"/>
            </a:ext>
          </a:extLst>
        </xdr:cNvPr>
        <xdr:cNvGrpSpPr/>
      </xdr:nvGrpSpPr>
      <xdr:grpSpPr>
        <a:xfrm>
          <a:off x="3417212" y="2171700"/>
          <a:ext cx="0" cy="6350"/>
          <a:chOff x="0" y="0"/>
          <a:chExt cx="0" cy="6350"/>
        </a:xfrm>
      </xdr:grpSpPr>
      <xdr:sp macro="" textlink="">
        <xdr:nvSpPr>
          <xdr:cNvPr id="104" name="Shape 37">
            <a:extLst>
              <a:ext uri="{FF2B5EF4-FFF2-40B4-BE49-F238E27FC236}">
                <a16:creationId xmlns:a16="http://schemas.microsoft.com/office/drawing/2014/main" id="{00000000-0008-0000-1700-000068000000}"/>
              </a:ext>
            </a:extLst>
          </xdr:cNvPr>
          <xdr:cNvSpPr/>
        </xdr:nvSpPr>
        <xdr:spPr>
          <a:xfrm>
            <a:off x="5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105" name="Shape 38">
            <a:extLst>
              <a:ext uri="{FF2B5EF4-FFF2-40B4-BE49-F238E27FC236}">
                <a16:creationId xmlns:a16="http://schemas.microsoft.com/office/drawing/2014/main" id="{00000000-0008-0000-1700-000069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3</xdr:col>
      <xdr:colOff>464049</xdr:colOff>
      <xdr:row>8</xdr:row>
      <xdr:rowOff>0</xdr:rowOff>
    </xdr:from>
    <xdr:ext cx="0" cy="6350"/>
    <xdr:grpSp>
      <xdr:nvGrpSpPr>
        <xdr:cNvPr id="106" name="Group 39">
          <a:extLst>
            <a:ext uri="{FF2B5EF4-FFF2-40B4-BE49-F238E27FC236}">
              <a16:creationId xmlns:a16="http://schemas.microsoft.com/office/drawing/2014/main" id="{00000000-0008-0000-1700-00006A000000}"/>
            </a:ext>
          </a:extLst>
        </xdr:cNvPr>
        <xdr:cNvGrpSpPr/>
      </xdr:nvGrpSpPr>
      <xdr:grpSpPr>
        <a:xfrm>
          <a:off x="6807699" y="2171700"/>
          <a:ext cx="0" cy="6350"/>
          <a:chOff x="0" y="0"/>
          <a:chExt cx="0" cy="6350"/>
        </a:xfrm>
      </xdr:grpSpPr>
      <xdr:sp macro="" textlink="">
        <xdr:nvSpPr>
          <xdr:cNvPr id="107" name="Shape 40">
            <a:extLst>
              <a:ext uri="{FF2B5EF4-FFF2-40B4-BE49-F238E27FC236}">
                <a16:creationId xmlns:a16="http://schemas.microsoft.com/office/drawing/2014/main" id="{00000000-0008-0000-1700-00006B000000}"/>
              </a:ext>
            </a:extLst>
          </xdr:cNvPr>
          <xdr:cNvSpPr/>
        </xdr:nvSpPr>
        <xdr:spPr>
          <a:xfrm>
            <a:off x="0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108" name="Shape 41">
            <a:extLst>
              <a:ext uri="{FF2B5EF4-FFF2-40B4-BE49-F238E27FC236}">
                <a16:creationId xmlns:a16="http://schemas.microsoft.com/office/drawing/2014/main" id="{00000000-0008-0000-1700-00006C000000}"/>
              </a:ext>
            </a:extLst>
          </xdr:cNvPr>
          <xdr:cNvSpPr/>
        </xdr:nvSpPr>
        <xdr:spPr>
          <a:xfrm>
            <a:off x="6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109" name="Shape 42">
            <a:extLst>
              <a:ext uri="{FF2B5EF4-FFF2-40B4-BE49-F238E27FC236}">
                <a16:creationId xmlns:a16="http://schemas.microsoft.com/office/drawing/2014/main" id="{00000000-0008-0000-1700-00006D000000}"/>
              </a:ext>
            </a:extLst>
          </xdr:cNvPr>
          <xdr:cNvSpPr/>
        </xdr:nvSpPr>
        <xdr:spPr>
          <a:xfrm>
            <a:off x="6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6</xdr:col>
      <xdr:colOff>465672</xdr:colOff>
      <xdr:row>8</xdr:row>
      <xdr:rowOff>239132</xdr:rowOff>
    </xdr:from>
    <xdr:ext cx="0" cy="6350"/>
    <xdr:grpSp>
      <xdr:nvGrpSpPr>
        <xdr:cNvPr id="110" name="Group 43">
          <a:extLst>
            <a:ext uri="{FF2B5EF4-FFF2-40B4-BE49-F238E27FC236}">
              <a16:creationId xmlns:a16="http://schemas.microsoft.com/office/drawing/2014/main" id="{00000000-0008-0000-1700-00006E000000}"/>
            </a:ext>
          </a:extLst>
        </xdr:cNvPr>
        <xdr:cNvGrpSpPr/>
      </xdr:nvGrpSpPr>
      <xdr:grpSpPr>
        <a:xfrm>
          <a:off x="8495247" y="2410832"/>
          <a:ext cx="0" cy="6350"/>
          <a:chOff x="0" y="0"/>
          <a:chExt cx="0" cy="6350"/>
        </a:xfrm>
      </xdr:grpSpPr>
      <xdr:sp macro="" textlink="">
        <xdr:nvSpPr>
          <xdr:cNvPr id="111" name="Shape 44">
            <a:extLst>
              <a:ext uri="{FF2B5EF4-FFF2-40B4-BE49-F238E27FC236}">
                <a16:creationId xmlns:a16="http://schemas.microsoft.com/office/drawing/2014/main" id="{00000000-0008-0000-1700-00006F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112" name="Shape 45">
            <a:extLst>
              <a:ext uri="{FF2B5EF4-FFF2-40B4-BE49-F238E27FC236}">
                <a16:creationId xmlns:a16="http://schemas.microsoft.com/office/drawing/2014/main" id="{00000000-0008-0000-1700-000070000000}"/>
              </a:ext>
            </a:extLst>
          </xdr:cNvPr>
          <xdr:cNvSpPr/>
        </xdr:nvSpPr>
        <xdr:spPr>
          <a:xfrm>
            <a:off x="5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4</xdr:col>
      <xdr:colOff>463636</xdr:colOff>
      <xdr:row>8</xdr:row>
      <xdr:rowOff>0</xdr:rowOff>
    </xdr:from>
    <xdr:ext cx="0" cy="6350"/>
    <xdr:grpSp>
      <xdr:nvGrpSpPr>
        <xdr:cNvPr id="113" name="Group 46">
          <a:extLst>
            <a:ext uri="{FF2B5EF4-FFF2-40B4-BE49-F238E27FC236}">
              <a16:creationId xmlns:a16="http://schemas.microsoft.com/office/drawing/2014/main" id="{00000000-0008-0000-1700-000071000000}"/>
            </a:ext>
          </a:extLst>
        </xdr:cNvPr>
        <xdr:cNvGrpSpPr/>
      </xdr:nvGrpSpPr>
      <xdr:grpSpPr>
        <a:xfrm>
          <a:off x="7369261" y="2171700"/>
          <a:ext cx="0" cy="6350"/>
          <a:chOff x="0" y="0"/>
          <a:chExt cx="0" cy="6350"/>
        </a:xfrm>
      </xdr:grpSpPr>
      <xdr:sp macro="" textlink="">
        <xdr:nvSpPr>
          <xdr:cNvPr id="114" name="Shape 47">
            <a:extLst>
              <a:ext uri="{FF2B5EF4-FFF2-40B4-BE49-F238E27FC236}">
                <a16:creationId xmlns:a16="http://schemas.microsoft.com/office/drawing/2014/main" id="{00000000-0008-0000-1700-000072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115" name="Shape 48">
            <a:extLst>
              <a:ext uri="{FF2B5EF4-FFF2-40B4-BE49-F238E27FC236}">
                <a16:creationId xmlns:a16="http://schemas.microsoft.com/office/drawing/2014/main" id="{00000000-0008-0000-1700-000073000000}"/>
              </a:ext>
            </a:extLst>
          </xdr:cNvPr>
          <xdr:cNvSpPr/>
        </xdr:nvSpPr>
        <xdr:spPr>
          <a:xfrm>
            <a:off x="5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8</xdr:col>
      <xdr:colOff>465672</xdr:colOff>
      <xdr:row>8</xdr:row>
      <xdr:rowOff>239132</xdr:rowOff>
    </xdr:from>
    <xdr:ext cx="0" cy="6350"/>
    <xdr:grpSp>
      <xdr:nvGrpSpPr>
        <xdr:cNvPr id="116" name="Group 49">
          <a:extLst>
            <a:ext uri="{FF2B5EF4-FFF2-40B4-BE49-F238E27FC236}">
              <a16:creationId xmlns:a16="http://schemas.microsoft.com/office/drawing/2014/main" id="{00000000-0008-0000-1700-000074000000}"/>
            </a:ext>
          </a:extLst>
        </xdr:cNvPr>
        <xdr:cNvGrpSpPr/>
      </xdr:nvGrpSpPr>
      <xdr:grpSpPr>
        <a:xfrm>
          <a:off x="9619197" y="2410832"/>
          <a:ext cx="0" cy="6350"/>
          <a:chOff x="0" y="0"/>
          <a:chExt cx="0" cy="6350"/>
        </a:xfrm>
      </xdr:grpSpPr>
      <xdr:sp macro="" textlink="">
        <xdr:nvSpPr>
          <xdr:cNvPr id="117" name="Shape 50">
            <a:extLst>
              <a:ext uri="{FF2B5EF4-FFF2-40B4-BE49-F238E27FC236}">
                <a16:creationId xmlns:a16="http://schemas.microsoft.com/office/drawing/2014/main" id="{00000000-0008-0000-1700-000075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118" name="Shape 51">
            <a:extLst>
              <a:ext uri="{FF2B5EF4-FFF2-40B4-BE49-F238E27FC236}">
                <a16:creationId xmlns:a16="http://schemas.microsoft.com/office/drawing/2014/main" id="{00000000-0008-0000-1700-000076000000}"/>
              </a:ext>
            </a:extLst>
          </xdr:cNvPr>
          <xdr:cNvSpPr/>
        </xdr:nvSpPr>
        <xdr:spPr>
          <a:xfrm>
            <a:off x="5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2</xdr:col>
      <xdr:colOff>0</xdr:colOff>
      <xdr:row>8</xdr:row>
      <xdr:rowOff>0</xdr:rowOff>
    </xdr:from>
    <xdr:ext cx="0" cy="6350"/>
    <xdr:grpSp>
      <xdr:nvGrpSpPr>
        <xdr:cNvPr id="119" name="Group 52">
          <a:extLst>
            <a:ext uri="{FF2B5EF4-FFF2-40B4-BE49-F238E27FC236}">
              <a16:creationId xmlns:a16="http://schemas.microsoft.com/office/drawing/2014/main" id="{00000000-0008-0000-1700-000077000000}"/>
            </a:ext>
          </a:extLst>
        </xdr:cNvPr>
        <xdr:cNvGrpSpPr/>
      </xdr:nvGrpSpPr>
      <xdr:grpSpPr>
        <a:xfrm>
          <a:off x="2952750" y="2171700"/>
          <a:ext cx="0" cy="6350"/>
          <a:chOff x="0" y="0"/>
          <a:chExt cx="0" cy="6350"/>
        </a:xfrm>
      </xdr:grpSpPr>
      <xdr:sp macro="" textlink="">
        <xdr:nvSpPr>
          <xdr:cNvPr id="120" name="Shape 53">
            <a:extLst>
              <a:ext uri="{FF2B5EF4-FFF2-40B4-BE49-F238E27FC236}">
                <a16:creationId xmlns:a16="http://schemas.microsoft.com/office/drawing/2014/main" id="{00000000-0008-0000-1700-000078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121" name="Shape 54">
            <a:extLst>
              <a:ext uri="{FF2B5EF4-FFF2-40B4-BE49-F238E27FC236}">
                <a16:creationId xmlns:a16="http://schemas.microsoft.com/office/drawing/2014/main" id="{00000000-0008-0000-1700-000079000000}"/>
              </a:ext>
            </a:extLst>
          </xdr:cNvPr>
          <xdr:cNvSpPr/>
        </xdr:nvSpPr>
        <xdr:spPr>
          <a:xfrm>
            <a:off x="5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1</xdr:col>
      <xdr:colOff>23812</xdr:colOff>
      <xdr:row>2</xdr:row>
      <xdr:rowOff>126988</xdr:rowOff>
    </xdr:from>
    <xdr:ext cx="7577138" cy="63511"/>
    <xdr:sp macro="" textlink="">
      <xdr:nvSpPr>
        <xdr:cNvPr id="122" name="Shape 2">
          <a:extLst>
            <a:ext uri="{FF2B5EF4-FFF2-40B4-BE49-F238E27FC236}">
              <a16:creationId xmlns:a16="http://schemas.microsoft.com/office/drawing/2014/main" id="{00000000-0008-0000-1700-00007A000000}"/>
            </a:ext>
          </a:extLst>
        </xdr:cNvPr>
        <xdr:cNvSpPr/>
      </xdr:nvSpPr>
      <xdr:spPr>
        <a:xfrm flipV="1">
          <a:off x="328612" y="507988"/>
          <a:ext cx="7577138" cy="63511"/>
        </a:xfrm>
        <a:custGeom>
          <a:avLst/>
          <a:gdLst/>
          <a:ahLst/>
          <a:cxnLst/>
          <a:rect l="0" t="0" r="0" b="0"/>
          <a:pathLst>
            <a:path w="4518660">
              <a:moveTo>
                <a:pt x="0" y="0"/>
              </a:moveTo>
              <a:lnTo>
                <a:pt x="4518660" y="0"/>
              </a:lnTo>
            </a:path>
          </a:pathLst>
        </a:custGeom>
        <a:ln w="6350">
          <a:solidFill>
            <a:srgbClr val="B3B2B2"/>
          </a:solidFill>
        </a:ln>
      </xdr:spPr>
    </xdr:sp>
    <xdr:clientData/>
  </xdr:oneCellAnchor>
  <xdr:oneCellAnchor>
    <xdr:from>
      <xdr:col>8</xdr:col>
      <xdr:colOff>287348</xdr:colOff>
      <xdr:row>2</xdr:row>
      <xdr:rowOff>23807</xdr:rowOff>
    </xdr:from>
    <xdr:ext cx="288290" cy="288290"/>
    <xdr:grpSp>
      <xdr:nvGrpSpPr>
        <xdr:cNvPr id="123" name="Group 3">
          <a:extLst>
            <a:ext uri="{FF2B5EF4-FFF2-40B4-BE49-F238E27FC236}">
              <a16:creationId xmlns:a16="http://schemas.microsoft.com/office/drawing/2014/main" id="{00000000-0008-0000-1700-00007B000000}"/>
            </a:ext>
          </a:extLst>
        </xdr:cNvPr>
        <xdr:cNvGrpSpPr/>
      </xdr:nvGrpSpPr>
      <xdr:grpSpPr>
        <a:xfrm>
          <a:off x="9440873" y="404807"/>
          <a:ext cx="288290" cy="288290"/>
          <a:chOff x="0" y="0"/>
          <a:chExt cx="288290" cy="288290"/>
        </a:xfrm>
      </xdr:grpSpPr>
      <xdr:sp macro="" textlink="">
        <xdr:nvSpPr>
          <xdr:cNvPr id="124" name="Shape 4">
            <a:extLst>
              <a:ext uri="{FF2B5EF4-FFF2-40B4-BE49-F238E27FC236}">
                <a16:creationId xmlns:a16="http://schemas.microsoft.com/office/drawing/2014/main" id="{00000000-0008-0000-1700-00007C000000}"/>
              </a:ext>
            </a:extLst>
          </xdr:cNvPr>
          <xdr:cNvSpPr/>
        </xdr:nvSpPr>
        <xdr:spPr>
          <a:xfrm>
            <a:off x="0" y="0"/>
            <a:ext cx="288290" cy="288290"/>
          </a:xfrm>
          <a:custGeom>
            <a:avLst/>
            <a:gdLst/>
            <a:ahLst/>
            <a:cxnLst/>
            <a:rect l="0" t="0" r="0" b="0"/>
            <a:pathLst>
              <a:path w="288290" h="288290">
                <a:moveTo>
                  <a:pt x="288290" y="0"/>
                </a:moveTo>
                <a:lnTo>
                  <a:pt x="0" y="0"/>
                </a:lnTo>
                <a:lnTo>
                  <a:pt x="0" y="288290"/>
                </a:lnTo>
                <a:lnTo>
                  <a:pt x="288290" y="288290"/>
                </a:lnTo>
                <a:lnTo>
                  <a:pt x="288290" y="0"/>
                </a:lnTo>
                <a:close/>
              </a:path>
            </a:pathLst>
          </a:custGeom>
          <a:solidFill>
            <a:srgbClr val="B3B2B2"/>
          </a:solidFill>
        </xdr:spPr>
      </xdr:sp>
      <xdr:sp macro="" textlink="">
        <xdr:nvSpPr>
          <xdr:cNvPr id="125" name="Shape 5">
            <a:extLst>
              <a:ext uri="{FF2B5EF4-FFF2-40B4-BE49-F238E27FC236}">
                <a16:creationId xmlns:a16="http://schemas.microsoft.com/office/drawing/2014/main" id="{00000000-0008-0000-1700-00007D000000}"/>
              </a:ext>
            </a:extLst>
          </xdr:cNvPr>
          <xdr:cNvSpPr/>
        </xdr:nvSpPr>
        <xdr:spPr>
          <a:xfrm>
            <a:off x="18468" y="119486"/>
            <a:ext cx="50165" cy="59055"/>
          </a:xfrm>
          <a:custGeom>
            <a:avLst/>
            <a:gdLst/>
            <a:ahLst/>
            <a:cxnLst/>
            <a:rect l="0" t="0" r="0" b="0"/>
            <a:pathLst>
              <a:path w="50165" h="59055">
                <a:moveTo>
                  <a:pt x="0" y="58826"/>
                </a:moveTo>
                <a:lnTo>
                  <a:pt x="50050" y="0"/>
                </a:lnTo>
              </a:path>
            </a:pathLst>
          </a:custGeom>
          <a:ln w="10160">
            <a:solidFill>
              <a:srgbClr val="FFFFFF"/>
            </a:solidFill>
          </a:ln>
        </xdr:spPr>
      </xdr:sp>
      <xdr:sp macro="" textlink="">
        <xdr:nvSpPr>
          <xdr:cNvPr id="126" name="Shape 6">
            <a:extLst>
              <a:ext uri="{FF2B5EF4-FFF2-40B4-BE49-F238E27FC236}">
                <a16:creationId xmlns:a16="http://schemas.microsoft.com/office/drawing/2014/main" id="{00000000-0008-0000-1700-00007E000000}"/>
              </a:ext>
            </a:extLst>
          </xdr:cNvPr>
          <xdr:cNvSpPr/>
        </xdr:nvSpPr>
        <xdr:spPr>
          <a:xfrm>
            <a:off x="71264" y="118998"/>
            <a:ext cx="21590" cy="45720"/>
          </a:xfrm>
          <a:custGeom>
            <a:avLst/>
            <a:gdLst/>
            <a:ahLst/>
            <a:cxnLst/>
            <a:rect l="0" t="0" r="0" b="0"/>
            <a:pathLst>
              <a:path w="21590" h="45720">
                <a:moveTo>
                  <a:pt x="0" y="0"/>
                </a:moveTo>
                <a:lnTo>
                  <a:pt x="21285" y="45199"/>
                </a:lnTo>
              </a:path>
            </a:pathLst>
          </a:custGeom>
          <a:ln w="10160">
            <a:solidFill>
              <a:srgbClr val="FFFFFF"/>
            </a:solidFill>
          </a:ln>
        </xdr:spPr>
      </xdr:sp>
      <xdr:sp macro="" textlink="">
        <xdr:nvSpPr>
          <xdr:cNvPr id="127" name="Shape 7">
            <a:extLst>
              <a:ext uri="{FF2B5EF4-FFF2-40B4-BE49-F238E27FC236}">
                <a16:creationId xmlns:a16="http://schemas.microsoft.com/office/drawing/2014/main" id="{00000000-0008-0000-1700-00007F000000}"/>
              </a:ext>
            </a:extLst>
          </xdr:cNvPr>
          <xdr:cNvSpPr/>
        </xdr:nvSpPr>
        <xdr:spPr>
          <a:xfrm>
            <a:off x="98322" y="101048"/>
            <a:ext cx="38735" cy="63500"/>
          </a:xfrm>
          <a:custGeom>
            <a:avLst/>
            <a:gdLst/>
            <a:ahLst/>
            <a:cxnLst/>
            <a:rect l="0" t="0" r="0" b="0"/>
            <a:pathLst>
              <a:path w="38735" h="63500">
                <a:moveTo>
                  <a:pt x="0" y="63322"/>
                </a:moveTo>
                <a:lnTo>
                  <a:pt x="38290" y="0"/>
                </a:lnTo>
              </a:path>
            </a:pathLst>
          </a:custGeom>
          <a:ln w="10160">
            <a:solidFill>
              <a:srgbClr val="FFFFFF"/>
            </a:solidFill>
          </a:ln>
        </xdr:spPr>
      </xdr:sp>
      <xdr:sp macro="" textlink="">
        <xdr:nvSpPr>
          <xdr:cNvPr id="128" name="Shape 8">
            <a:extLst>
              <a:ext uri="{FF2B5EF4-FFF2-40B4-BE49-F238E27FC236}">
                <a16:creationId xmlns:a16="http://schemas.microsoft.com/office/drawing/2014/main" id="{00000000-0008-0000-1700-000080000000}"/>
              </a:ext>
            </a:extLst>
          </xdr:cNvPr>
          <xdr:cNvSpPr/>
        </xdr:nvSpPr>
        <xdr:spPr>
          <a:xfrm>
            <a:off x="142948" y="104541"/>
            <a:ext cx="41275" cy="80645"/>
          </a:xfrm>
          <a:custGeom>
            <a:avLst/>
            <a:gdLst/>
            <a:ahLst/>
            <a:cxnLst/>
            <a:rect l="0" t="0" r="0" b="0"/>
            <a:pathLst>
              <a:path w="41275" h="80645">
                <a:moveTo>
                  <a:pt x="0" y="0"/>
                </a:moveTo>
                <a:lnTo>
                  <a:pt x="41122" y="80467"/>
                </a:lnTo>
              </a:path>
            </a:pathLst>
          </a:custGeom>
          <a:ln w="10160">
            <a:solidFill>
              <a:srgbClr val="FFFFFF"/>
            </a:solidFill>
          </a:ln>
        </xdr:spPr>
      </xdr:sp>
      <xdr:sp macro="" textlink="">
        <xdr:nvSpPr>
          <xdr:cNvPr id="129" name="Shape 9">
            <a:extLst>
              <a:ext uri="{FF2B5EF4-FFF2-40B4-BE49-F238E27FC236}">
                <a16:creationId xmlns:a16="http://schemas.microsoft.com/office/drawing/2014/main" id="{00000000-0008-0000-1700-000081000000}"/>
              </a:ext>
            </a:extLst>
          </xdr:cNvPr>
          <xdr:cNvSpPr/>
        </xdr:nvSpPr>
        <xdr:spPr>
          <a:xfrm>
            <a:off x="189016" y="51689"/>
            <a:ext cx="87630" cy="132715"/>
          </a:xfrm>
          <a:custGeom>
            <a:avLst/>
            <a:gdLst/>
            <a:ahLst/>
            <a:cxnLst/>
            <a:rect l="0" t="0" r="0" b="0"/>
            <a:pathLst>
              <a:path w="87630" h="132715">
                <a:moveTo>
                  <a:pt x="0" y="132194"/>
                </a:moveTo>
                <a:lnTo>
                  <a:pt x="87414" y="0"/>
                </a:lnTo>
              </a:path>
            </a:pathLst>
          </a:custGeom>
          <a:ln w="10160">
            <a:solidFill>
              <a:srgbClr val="FFFFFF"/>
            </a:solidFill>
          </a:ln>
        </xdr:spPr>
      </xdr:sp>
    </xdr:grpSp>
    <xdr:clientData/>
  </xdr:oneCellAnchor>
  <xdr:oneCellAnchor>
    <xdr:from>
      <xdr:col>8</xdr:col>
      <xdr:colOff>4292</xdr:colOff>
      <xdr:row>9</xdr:row>
      <xdr:rowOff>0</xdr:rowOff>
    </xdr:from>
    <xdr:ext cx="0" cy="6350"/>
    <xdr:grpSp>
      <xdr:nvGrpSpPr>
        <xdr:cNvPr id="130" name="Group 17">
          <a:extLst>
            <a:ext uri="{FF2B5EF4-FFF2-40B4-BE49-F238E27FC236}">
              <a16:creationId xmlns:a16="http://schemas.microsoft.com/office/drawing/2014/main" id="{00000000-0008-0000-1700-000082000000}"/>
            </a:ext>
          </a:extLst>
        </xdr:cNvPr>
        <xdr:cNvGrpSpPr/>
      </xdr:nvGrpSpPr>
      <xdr:grpSpPr>
        <a:xfrm>
          <a:off x="9157817" y="2428875"/>
          <a:ext cx="0" cy="6350"/>
          <a:chOff x="0" y="0"/>
          <a:chExt cx="0" cy="6350"/>
        </a:xfrm>
      </xdr:grpSpPr>
      <xdr:sp macro="" textlink="">
        <xdr:nvSpPr>
          <xdr:cNvPr id="131" name="Shape 18">
            <a:extLst>
              <a:ext uri="{FF2B5EF4-FFF2-40B4-BE49-F238E27FC236}">
                <a16:creationId xmlns:a16="http://schemas.microsoft.com/office/drawing/2014/main" id="{00000000-0008-0000-1700-000083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132" name="Shape 19">
            <a:extLst>
              <a:ext uri="{FF2B5EF4-FFF2-40B4-BE49-F238E27FC236}">
                <a16:creationId xmlns:a16="http://schemas.microsoft.com/office/drawing/2014/main" id="{00000000-0008-0000-1700-000084000000}"/>
              </a:ext>
            </a:extLst>
          </xdr:cNvPr>
          <xdr:cNvSpPr/>
        </xdr:nvSpPr>
        <xdr:spPr>
          <a:xfrm>
            <a:off x="3" y="3181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133" name="Shape 20">
            <a:extLst>
              <a:ext uri="{FF2B5EF4-FFF2-40B4-BE49-F238E27FC236}">
                <a16:creationId xmlns:a16="http://schemas.microsoft.com/office/drawing/2014/main" id="{00000000-0008-0000-1700-000085000000}"/>
              </a:ext>
            </a:extLst>
          </xdr:cNvPr>
          <xdr:cNvSpPr/>
        </xdr:nvSpPr>
        <xdr:spPr>
          <a:xfrm>
            <a:off x="0" y="3181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7</xdr:col>
      <xdr:colOff>465672</xdr:colOff>
      <xdr:row>9</xdr:row>
      <xdr:rowOff>1007</xdr:rowOff>
    </xdr:from>
    <xdr:ext cx="0" cy="6350"/>
    <xdr:grpSp>
      <xdr:nvGrpSpPr>
        <xdr:cNvPr id="134" name="Group 43">
          <a:extLst>
            <a:ext uri="{FF2B5EF4-FFF2-40B4-BE49-F238E27FC236}">
              <a16:creationId xmlns:a16="http://schemas.microsoft.com/office/drawing/2014/main" id="{00000000-0008-0000-1700-000086000000}"/>
            </a:ext>
          </a:extLst>
        </xdr:cNvPr>
        <xdr:cNvGrpSpPr/>
      </xdr:nvGrpSpPr>
      <xdr:grpSpPr>
        <a:xfrm>
          <a:off x="9057222" y="2429882"/>
          <a:ext cx="0" cy="6350"/>
          <a:chOff x="0" y="0"/>
          <a:chExt cx="0" cy="6350"/>
        </a:xfrm>
      </xdr:grpSpPr>
      <xdr:sp macro="" textlink="">
        <xdr:nvSpPr>
          <xdr:cNvPr id="135" name="Shape 44">
            <a:extLst>
              <a:ext uri="{FF2B5EF4-FFF2-40B4-BE49-F238E27FC236}">
                <a16:creationId xmlns:a16="http://schemas.microsoft.com/office/drawing/2014/main" id="{00000000-0008-0000-1700-000087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136" name="Shape 45">
            <a:extLst>
              <a:ext uri="{FF2B5EF4-FFF2-40B4-BE49-F238E27FC236}">
                <a16:creationId xmlns:a16="http://schemas.microsoft.com/office/drawing/2014/main" id="{00000000-0008-0000-1700-000088000000}"/>
              </a:ext>
            </a:extLst>
          </xdr:cNvPr>
          <xdr:cNvSpPr/>
        </xdr:nvSpPr>
        <xdr:spPr>
          <a:xfrm>
            <a:off x="5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6</xdr:col>
      <xdr:colOff>3543</xdr:colOff>
      <xdr:row>8</xdr:row>
      <xdr:rowOff>257169</xdr:rowOff>
    </xdr:from>
    <xdr:ext cx="0" cy="6350"/>
    <xdr:grpSp>
      <xdr:nvGrpSpPr>
        <xdr:cNvPr id="137" name="Group 33">
          <a:extLst>
            <a:ext uri="{FF2B5EF4-FFF2-40B4-BE49-F238E27FC236}">
              <a16:creationId xmlns:a16="http://schemas.microsoft.com/office/drawing/2014/main" id="{00000000-0008-0000-1700-000089000000}"/>
            </a:ext>
          </a:extLst>
        </xdr:cNvPr>
        <xdr:cNvGrpSpPr/>
      </xdr:nvGrpSpPr>
      <xdr:grpSpPr>
        <a:xfrm>
          <a:off x="8033118" y="2428869"/>
          <a:ext cx="0" cy="6350"/>
          <a:chOff x="0" y="0"/>
          <a:chExt cx="0" cy="6350"/>
        </a:xfrm>
      </xdr:grpSpPr>
      <xdr:sp macro="" textlink="">
        <xdr:nvSpPr>
          <xdr:cNvPr id="138" name="Shape 34">
            <a:extLst>
              <a:ext uri="{FF2B5EF4-FFF2-40B4-BE49-F238E27FC236}">
                <a16:creationId xmlns:a16="http://schemas.microsoft.com/office/drawing/2014/main" id="{00000000-0008-0000-1700-00008A000000}"/>
              </a:ext>
            </a:extLst>
          </xdr:cNvPr>
          <xdr:cNvSpPr/>
        </xdr:nvSpPr>
        <xdr:spPr>
          <a:xfrm>
            <a:off x="0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139" name="Shape 35">
            <a:extLst>
              <a:ext uri="{FF2B5EF4-FFF2-40B4-BE49-F238E27FC236}">
                <a16:creationId xmlns:a16="http://schemas.microsoft.com/office/drawing/2014/main" id="{00000000-0008-0000-1700-00008B000000}"/>
              </a:ext>
            </a:extLst>
          </xdr:cNvPr>
          <xdr:cNvSpPr/>
        </xdr:nvSpPr>
        <xdr:spPr>
          <a:xfrm>
            <a:off x="1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140" name="Shape 36">
            <a:extLst>
              <a:ext uri="{FF2B5EF4-FFF2-40B4-BE49-F238E27FC236}">
                <a16:creationId xmlns:a16="http://schemas.microsoft.com/office/drawing/2014/main" id="{00000000-0008-0000-1700-00008C000000}"/>
              </a:ext>
            </a:extLst>
          </xdr:cNvPr>
          <xdr:cNvSpPr/>
        </xdr:nvSpPr>
        <xdr:spPr>
          <a:xfrm>
            <a:off x="1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6</xdr:col>
      <xdr:colOff>465702</xdr:colOff>
      <xdr:row>8</xdr:row>
      <xdr:rowOff>252944</xdr:rowOff>
    </xdr:from>
    <xdr:ext cx="0" cy="6350"/>
    <xdr:grpSp>
      <xdr:nvGrpSpPr>
        <xdr:cNvPr id="141" name="Group 25">
          <a:extLst>
            <a:ext uri="{FF2B5EF4-FFF2-40B4-BE49-F238E27FC236}">
              <a16:creationId xmlns:a16="http://schemas.microsoft.com/office/drawing/2014/main" id="{00000000-0008-0000-1700-00008D000000}"/>
            </a:ext>
          </a:extLst>
        </xdr:cNvPr>
        <xdr:cNvGrpSpPr/>
      </xdr:nvGrpSpPr>
      <xdr:grpSpPr>
        <a:xfrm>
          <a:off x="8495277" y="2424644"/>
          <a:ext cx="0" cy="6350"/>
          <a:chOff x="0" y="0"/>
          <a:chExt cx="0" cy="6350"/>
        </a:xfrm>
      </xdr:grpSpPr>
      <xdr:sp macro="" textlink="">
        <xdr:nvSpPr>
          <xdr:cNvPr id="142" name="Shape 26">
            <a:extLst>
              <a:ext uri="{FF2B5EF4-FFF2-40B4-BE49-F238E27FC236}">
                <a16:creationId xmlns:a16="http://schemas.microsoft.com/office/drawing/2014/main" id="{00000000-0008-0000-1700-00008E000000}"/>
              </a:ext>
            </a:extLst>
          </xdr:cNvPr>
          <xdr:cNvSpPr/>
        </xdr:nvSpPr>
        <xdr:spPr>
          <a:xfrm>
            <a:off x="6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143" name="Shape 27">
            <a:extLst>
              <a:ext uri="{FF2B5EF4-FFF2-40B4-BE49-F238E27FC236}">
                <a16:creationId xmlns:a16="http://schemas.microsoft.com/office/drawing/2014/main" id="{00000000-0008-0000-1700-00008F000000}"/>
              </a:ext>
            </a:extLst>
          </xdr:cNvPr>
          <xdr:cNvSpPr/>
        </xdr:nvSpPr>
        <xdr:spPr>
          <a:xfrm>
            <a:off x="0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144" name="Shape 28">
            <a:extLst>
              <a:ext uri="{FF2B5EF4-FFF2-40B4-BE49-F238E27FC236}">
                <a16:creationId xmlns:a16="http://schemas.microsoft.com/office/drawing/2014/main" id="{00000000-0008-0000-1700-000090000000}"/>
              </a:ext>
            </a:extLst>
          </xdr:cNvPr>
          <xdr:cNvSpPr/>
        </xdr:nvSpPr>
        <xdr:spPr>
          <a:xfrm>
            <a:off x="6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8</xdr:col>
      <xdr:colOff>464875</xdr:colOff>
      <xdr:row>8</xdr:row>
      <xdr:rowOff>252944</xdr:rowOff>
    </xdr:from>
    <xdr:ext cx="635" cy="6350"/>
    <xdr:grpSp>
      <xdr:nvGrpSpPr>
        <xdr:cNvPr id="145" name="Group 32">
          <a:extLst>
            <a:ext uri="{FF2B5EF4-FFF2-40B4-BE49-F238E27FC236}">
              <a16:creationId xmlns:a16="http://schemas.microsoft.com/office/drawing/2014/main" id="{00000000-0008-0000-1700-000091000000}"/>
            </a:ext>
          </a:extLst>
        </xdr:cNvPr>
        <xdr:cNvGrpSpPr/>
      </xdr:nvGrpSpPr>
      <xdr:grpSpPr>
        <a:xfrm>
          <a:off x="9618400" y="2424644"/>
          <a:ext cx="635" cy="6350"/>
          <a:chOff x="0" y="0"/>
          <a:chExt cx="635" cy="6350"/>
        </a:xfrm>
      </xdr:grpSpPr>
      <xdr:sp macro="" textlink="">
        <xdr:nvSpPr>
          <xdr:cNvPr id="146" name="Shape 33">
            <a:extLst>
              <a:ext uri="{FF2B5EF4-FFF2-40B4-BE49-F238E27FC236}">
                <a16:creationId xmlns:a16="http://schemas.microsoft.com/office/drawing/2014/main" id="{00000000-0008-0000-1700-000092000000}"/>
              </a:ext>
            </a:extLst>
          </xdr:cNvPr>
          <xdr:cNvSpPr/>
        </xdr:nvSpPr>
        <xdr:spPr>
          <a:xfrm>
            <a:off x="6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147" name="Shape 34">
            <a:extLst>
              <a:ext uri="{FF2B5EF4-FFF2-40B4-BE49-F238E27FC236}">
                <a16:creationId xmlns:a16="http://schemas.microsoft.com/office/drawing/2014/main" id="{00000000-0008-0000-1700-000093000000}"/>
              </a:ext>
            </a:extLst>
          </xdr:cNvPr>
          <xdr:cNvSpPr/>
        </xdr:nvSpPr>
        <xdr:spPr>
          <a:xfrm>
            <a:off x="0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148" name="Shape 35">
            <a:extLst>
              <a:ext uri="{FF2B5EF4-FFF2-40B4-BE49-F238E27FC236}">
                <a16:creationId xmlns:a16="http://schemas.microsoft.com/office/drawing/2014/main" id="{00000000-0008-0000-1700-000094000000}"/>
              </a:ext>
            </a:extLst>
          </xdr:cNvPr>
          <xdr:cNvSpPr/>
        </xdr:nvSpPr>
        <xdr:spPr>
          <a:xfrm>
            <a:off x="6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7</xdr:col>
      <xdr:colOff>465289</xdr:colOff>
      <xdr:row>8</xdr:row>
      <xdr:rowOff>252949</xdr:rowOff>
    </xdr:from>
    <xdr:ext cx="0" cy="6350"/>
    <xdr:grpSp>
      <xdr:nvGrpSpPr>
        <xdr:cNvPr id="149" name="Group 52">
          <a:extLst>
            <a:ext uri="{FF2B5EF4-FFF2-40B4-BE49-F238E27FC236}">
              <a16:creationId xmlns:a16="http://schemas.microsoft.com/office/drawing/2014/main" id="{00000000-0008-0000-1700-000095000000}"/>
            </a:ext>
          </a:extLst>
        </xdr:cNvPr>
        <xdr:cNvGrpSpPr/>
      </xdr:nvGrpSpPr>
      <xdr:grpSpPr>
        <a:xfrm>
          <a:off x="9056839" y="2424649"/>
          <a:ext cx="0" cy="6350"/>
          <a:chOff x="0" y="0"/>
          <a:chExt cx="0" cy="6350"/>
        </a:xfrm>
      </xdr:grpSpPr>
      <xdr:sp macro="" textlink="">
        <xdr:nvSpPr>
          <xdr:cNvPr id="150" name="Shape 53">
            <a:extLst>
              <a:ext uri="{FF2B5EF4-FFF2-40B4-BE49-F238E27FC236}">
                <a16:creationId xmlns:a16="http://schemas.microsoft.com/office/drawing/2014/main" id="{00000000-0008-0000-1700-000096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151" name="Shape 54">
            <a:extLst>
              <a:ext uri="{FF2B5EF4-FFF2-40B4-BE49-F238E27FC236}">
                <a16:creationId xmlns:a16="http://schemas.microsoft.com/office/drawing/2014/main" id="{00000000-0008-0000-1700-000097000000}"/>
              </a:ext>
            </a:extLst>
          </xdr:cNvPr>
          <xdr:cNvSpPr/>
        </xdr:nvSpPr>
        <xdr:spPr>
          <a:xfrm>
            <a:off x="5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7</xdr:col>
      <xdr:colOff>465673</xdr:colOff>
      <xdr:row>8</xdr:row>
      <xdr:rowOff>239132</xdr:rowOff>
    </xdr:from>
    <xdr:ext cx="0" cy="6350"/>
    <xdr:grpSp>
      <xdr:nvGrpSpPr>
        <xdr:cNvPr id="152" name="Group 29">
          <a:extLst>
            <a:ext uri="{FF2B5EF4-FFF2-40B4-BE49-F238E27FC236}">
              <a16:creationId xmlns:a16="http://schemas.microsoft.com/office/drawing/2014/main" id="{00000000-0008-0000-1700-000098000000}"/>
            </a:ext>
          </a:extLst>
        </xdr:cNvPr>
        <xdr:cNvGrpSpPr/>
      </xdr:nvGrpSpPr>
      <xdr:grpSpPr>
        <a:xfrm>
          <a:off x="9057223" y="2410832"/>
          <a:ext cx="0" cy="6350"/>
          <a:chOff x="0" y="0"/>
          <a:chExt cx="0" cy="6350"/>
        </a:xfrm>
      </xdr:grpSpPr>
      <xdr:sp macro="" textlink="">
        <xdr:nvSpPr>
          <xdr:cNvPr id="153" name="Shape 30">
            <a:extLst>
              <a:ext uri="{FF2B5EF4-FFF2-40B4-BE49-F238E27FC236}">
                <a16:creationId xmlns:a16="http://schemas.microsoft.com/office/drawing/2014/main" id="{00000000-0008-0000-1700-000099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154" name="Shape 31">
            <a:extLst>
              <a:ext uri="{FF2B5EF4-FFF2-40B4-BE49-F238E27FC236}">
                <a16:creationId xmlns:a16="http://schemas.microsoft.com/office/drawing/2014/main" id="{00000000-0008-0000-1700-00009A000000}"/>
              </a:ext>
            </a:extLst>
          </xdr:cNvPr>
          <xdr:cNvSpPr/>
        </xdr:nvSpPr>
        <xdr:spPr>
          <a:xfrm>
            <a:off x="5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6</xdr:col>
      <xdr:colOff>464049</xdr:colOff>
      <xdr:row>8</xdr:row>
      <xdr:rowOff>0</xdr:rowOff>
    </xdr:from>
    <xdr:ext cx="0" cy="6350"/>
    <xdr:grpSp>
      <xdr:nvGrpSpPr>
        <xdr:cNvPr id="155" name="Group 39">
          <a:extLst>
            <a:ext uri="{FF2B5EF4-FFF2-40B4-BE49-F238E27FC236}">
              <a16:creationId xmlns:a16="http://schemas.microsoft.com/office/drawing/2014/main" id="{00000000-0008-0000-1700-00009B000000}"/>
            </a:ext>
          </a:extLst>
        </xdr:cNvPr>
        <xdr:cNvGrpSpPr/>
      </xdr:nvGrpSpPr>
      <xdr:grpSpPr>
        <a:xfrm>
          <a:off x="8493624" y="2171700"/>
          <a:ext cx="0" cy="6350"/>
          <a:chOff x="0" y="0"/>
          <a:chExt cx="0" cy="6350"/>
        </a:xfrm>
      </xdr:grpSpPr>
      <xdr:sp macro="" textlink="">
        <xdr:nvSpPr>
          <xdr:cNvPr id="156" name="Shape 40">
            <a:extLst>
              <a:ext uri="{FF2B5EF4-FFF2-40B4-BE49-F238E27FC236}">
                <a16:creationId xmlns:a16="http://schemas.microsoft.com/office/drawing/2014/main" id="{00000000-0008-0000-1700-00009C000000}"/>
              </a:ext>
            </a:extLst>
          </xdr:cNvPr>
          <xdr:cNvSpPr/>
        </xdr:nvSpPr>
        <xdr:spPr>
          <a:xfrm>
            <a:off x="0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157" name="Shape 41">
            <a:extLst>
              <a:ext uri="{FF2B5EF4-FFF2-40B4-BE49-F238E27FC236}">
                <a16:creationId xmlns:a16="http://schemas.microsoft.com/office/drawing/2014/main" id="{00000000-0008-0000-1700-00009D000000}"/>
              </a:ext>
            </a:extLst>
          </xdr:cNvPr>
          <xdr:cNvSpPr/>
        </xdr:nvSpPr>
        <xdr:spPr>
          <a:xfrm>
            <a:off x="6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158" name="Shape 42">
            <a:extLst>
              <a:ext uri="{FF2B5EF4-FFF2-40B4-BE49-F238E27FC236}">
                <a16:creationId xmlns:a16="http://schemas.microsoft.com/office/drawing/2014/main" id="{00000000-0008-0000-1700-00009E000000}"/>
              </a:ext>
            </a:extLst>
          </xdr:cNvPr>
          <xdr:cNvSpPr/>
        </xdr:nvSpPr>
        <xdr:spPr>
          <a:xfrm>
            <a:off x="6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7</xdr:col>
      <xdr:colOff>463636</xdr:colOff>
      <xdr:row>8</xdr:row>
      <xdr:rowOff>0</xdr:rowOff>
    </xdr:from>
    <xdr:ext cx="0" cy="6350"/>
    <xdr:grpSp>
      <xdr:nvGrpSpPr>
        <xdr:cNvPr id="159" name="Group 46">
          <a:extLst>
            <a:ext uri="{FF2B5EF4-FFF2-40B4-BE49-F238E27FC236}">
              <a16:creationId xmlns:a16="http://schemas.microsoft.com/office/drawing/2014/main" id="{00000000-0008-0000-1700-00009F000000}"/>
            </a:ext>
          </a:extLst>
        </xdr:cNvPr>
        <xdr:cNvGrpSpPr/>
      </xdr:nvGrpSpPr>
      <xdr:grpSpPr>
        <a:xfrm>
          <a:off x="9055186" y="2171700"/>
          <a:ext cx="0" cy="6350"/>
          <a:chOff x="0" y="0"/>
          <a:chExt cx="0" cy="6350"/>
        </a:xfrm>
      </xdr:grpSpPr>
      <xdr:sp macro="" textlink="">
        <xdr:nvSpPr>
          <xdr:cNvPr id="160" name="Shape 47">
            <a:extLst>
              <a:ext uri="{FF2B5EF4-FFF2-40B4-BE49-F238E27FC236}">
                <a16:creationId xmlns:a16="http://schemas.microsoft.com/office/drawing/2014/main" id="{00000000-0008-0000-1700-0000A0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161" name="Shape 48">
            <a:extLst>
              <a:ext uri="{FF2B5EF4-FFF2-40B4-BE49-F238E27FC236}">
                <a16:creationId xmlns:a16="http://schemas.microsoft.com/office/drawing/2014/main" id="{00000000-0008-0000-1700-0000A1000000}"/>
              </a:ext>
            </a:extLst>
          </xdr:cNvPr>
          <xdr:cNvSpPr/>
        </xdr:nvSpPr>
        <xdr:spPr>
          <a:xfrm>
            <a:off x="5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</xdr:colOff>
      <xdr:row>7</xdr:row>
      <xdr:rowOff>248824</xdr:rowOff>
    </xdr:from>
    <xdr:ext cx="0" cy="6350"/>
    <xdr:grpSp>
      <xdr:nvGrpSpPr>
        <xdr:cNvPr id="2" name="Group 10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pSpPr/>
      </xdr:nvGrpSpPr>
      <xdr:grpSpPr>
        <a:xfrm>
          <a:off x="2952762" y="1896649"/>
          <a:ext cx="0" cy="6350"/>
          <a:chOff x="0" y="0"/>
          <a:chExt cx="0" cy="6350"/>
        </a:xfrm>
      </xdr:grpSpPr>
      <xdr:sp macro="" textlink="">
        <xdr:nvSpPr>
          <xdr:cNvPr id="3" name="Shape 11">
            <a:extLst>
              <a:ext uri="{FF2B5EF4-FFF2-40B4-BE49-F238E27FC236}">
                <a16:creationId xmlns:a16="http://schemas.microsoft.com/office/drawing/2014/main" id="{00000000-0008-0000-1300-000003000000}"/>
              </a:ext>
            </a:extLst>
          </xdr:cNvPr>
          <xdr:cNvSpPr/>
        </xdr:nvSpPr>
        <xdr:spPr>
          <a:xfrm>
            <a:off x="2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4" name="Shape 12">
            <a:extLst>
              <a:ext uri="{FF2B5EF4-FFF2-40B4-BE49-F238E27FC236}">
                <a16:creationId xmlns:a16="http://schemas.microsoft.com/office/drawing/2014/main" id="{00000000-0008-0000-1300-000004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5" name="Shape 13">
            <a:extLst>
              <a:ext uri="{FF2B5EF4-FFF2-40B4-BE49-F238E27FC236}">
                <a16:creationId xmlns:a16="http://schemas.microsoft.com/office/drawing/2014/main" id="{00000000-0008-0000-1300-000005000000}"/>
              </a:ext>
            </a:extLst>
          </xdr:cNvPr>
          <xdr:cNvSpPr/>
        </xdr:nvSpPr>
        <xdr:spPr>
          <a:xfrm>
            <a:off x="2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8</xdr:col>
      <xdr:colOff>72</xdr:colOff>
      <xdr:row>8</xdr:row>
      <xdr:rowOff>95825</xdr:rowOff>
    </xdr:from>
    <xdr:ext cx="0" cy="6350"/>
    <xdr:grpSp>
      <xdr:nvGrpSpPr>
        <xdr:cNvPr id="6" name="Group 14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GrpSpPr/>
      </xdr:nvGrpSpPr>
      <xdr:grpSpPr>
        <a:xfrm>
          <a:off x="9153597" y="2229425"/>
          <a:ext cx="0" cy="6350"/>
          <a:chOff x="0" y="0"/>
          <a:chExt cx="0" cy="6350"/>
        </a:xfrm>
      </xdr:grpSpPr>
      <xdr:sp macro="" textlink="">
        <xdr:nvSpPr>
          <xdr:cNvPr id="7" name="Shape 15">
            <a:extLst>
              <a:ext uri="{FF2B5EF4-FFF2-40B4-BE49-F238E27FC236}">
                <a16:creationId xmlns:a16="http://schemas.microsoft.com/office/drawing/2014/main" id="{00000000-0008-0000-1300-000007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8" name="Shape 16">
            <a:extLst>
              <a:ext uri="{FF2B5EF4-FFF2-40B4-BE49-F238E27FC236}">
                <a16:creationId xmlns:a16="http://schemas.microsoft.com/office/drawing/2014/main" id="{00000000-0008-0000-1300-000008000000}"/>
              </a:ext>
            </a:extLst>
          </xdr:cNvPr>
          <xdr:cNvSpPr/>
        </xdr:nvSpPr>
        <xdr:spPr>
          <a:xfrm>
            <a:off x="1" y="3176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9" name="Shape 17">
            <a:extLst>
              <a:ext uri="{FF2B5EF4-FFF2-40B4-BE49-F238E27FC236}">
                <a16:creationId xmlns:a16="http://schemas.microsoft.com/office/drawing/2014/main" id="{00000000-0008-0000-1300-000009000000}"/>
              </a:ext>
            </a:extLst>
          </xdr:cNvPr>
          <xdr:cNvSpPr/>
        </xdr:nvSpPr>
        <xdr:spPr>
          <a:xfrm>
            <a:off x="0" y="3176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4</xdr:col>
      <xdr:colOff>36</xdr:colOff>
      <xdr:row>8</xdr:row>
      <xdr:rowOff>95825</xdr:rowOff>
    </xdr:from>
    <xdr:ext cx="0" cy="6350"/>
    <xdr:grpSp>
      <xdr:nvGrpSpPr>
        <xdr:cNvPr id="10" name="Group 18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GrpSpPr/>
      </xdr:nvGrpSpPr>
      <xdr:grpSpPr>
        <a:xfrm>
          <a:off x="6905661" y="2229425"/>
          <a:ext cx="0" cy="6350"/>
          <a:chOff x="0" y="0"/>
          <a:chExt cx="0" cy="6350"/>
        </a:xfrm>
      </xdr:grpSpPr>
      <xdr:sp macro="" textlink="">
        <xdr:nvSpPr>
          <xdr:cNvPr id="11" name="Shape 19">
            <a:extLst>
              <a:ext uri="{FF2B5EF4-FFF2-40B4-BE49-F238E27FC236}">
                <a16:creationId xmlns:a16="http://schemas.microsoft.com/office/drawing/2014/main" id="{00000000-0008-0000-1300-00000B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12" name="Shape 20">
            <a:extLst>
              <a:ext uri="{FF2B5EF4-FFF2-40B4-BE49-F238E27FC236}">
                <a16:creationId xmlns:a16="http://schemas.microsoft.com/office/drawing/2014/main" id="{00000000-0008-0000-1300-00000C000000}"/>
              </a:ext>
            </a:extLst>
          </xdr:cNvPr>
          <xdr:cNvSpPr/>
        </xdr:nvSpPr>
        <xdr:spPr>
          <a:xfrm>
            <a:off x="2" y="3176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13" name="Shape 21">
            <a:extLst>
              <a:ext uri="{FF2B5EF4-FFF2-40B4-BE49-F238E27FC236}">
                <a16:creationId xmlns:a16="http://schemas.microsoft.com/office/drawing/2014/main" id="{00000000-0008-0000-1300-00000D000000}"/>
              </a:ext>
            </a:extLst>
          </xdr:cNvPr>
          <xdr:cNvSpPr/>
        </xdr:nvSpPr>
        <xdr:spPr>
          <a:xfrm>
            <a:off x="0" y="3176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5</xdr:col>
      <xdr:colOff>72</xdr:colOff>
      <xdr:row>8</xdr:row>
      <xdr:rowOff>95825</xdr:rowOff>
    </xdr:from>
    <xdr:ext cx="0" cy="6350"/>
    <xdr:grpSp>
      <xdr:nvGrpSpPr>
        <xdr:cNvPr id="14" name="Group 22">
          <a:extLst>
            <a:ext uri="{FF2B5EF4-FFF2-40B4-BE49-F238E27FC236}">
              <a16:creationId xmlns:a16="http://schemas.microsoft.com/office/drawing/2014/main" id="{00000000-0008-0000-1300-00000E000000}"/>
            </a:ext>
          </a:extLst>
        </xdr:cNvPr>
        <xdr:cNvGrpSpPr/>
      </xdr:nvGrpSpPr>
      <xdr:grpSpPr>
        <a:xfrm>
          <a:off x="7467672" y="2229425"/>
          <a:ext cx="0" cy="6350"/>
          <a:chOff x="0" y="0"/>
          <a:chExt cx="0" cy="6350"/>
        </a:xfrm>
      </xdr:grpSpPr>
      <xdr:sp macro="" textlink="">
        <xdr:nvSpPr>
          <xdr:cNvPr id="15" name="Shape 23">
            <a:extLst>
              <a:ext uri="{FF2B5EF4-FFF2-40B4-BE49-F238E27FC236}">
                <a16:creationId xmlns:a16="http://schemas.microsoft.com/office/drawing/2014/main" id="{00000000-0008-0000-1300-00000F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16" name="Shape 24">
            <a:extLst>
              <a:ext uri="{FF2B5EF4-FFF2-40B4-BE49-F238E27FC236}">
                <a16:creationId xmlns:a16="http://schemas.microsoft.com/office/drawing/2014/main" id="{00000000-0008-0000-1300-000010000000}"/>
              </a:ext>
            </a:extLst>
          </xdr:cNvPr>
          <xdr:cNvSpPr/>
        </xdr:nvSpPr>
        <xdr:spPr>
          <a:xfrm>
            <a:off x="2" y="3176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17" name="Shape 25">
            <a:extLst>
              <a:ext uri="{FF2B5EF4-FFF2-40B4-BE49-F238E27FC236}">
                <a16:creationId xmlns:a16="http://schemas.microsoft.com/office/drawing/2014/main" id="{00000000-0008-0000-1300-000011000000}"/>
              </a:ext>
            </a:extLst>
          </xdr:cNvPr>
          <xdr:cNvSpPr/>
        </xdr:nvSpPr>
        <xdr:spPr>
          <a:xfrm>
            <a:off x="0" y="3176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7</xdr:col>
      <xdr:colOff>35</xdr:colOff>
      <xdr:row>8</xdr:row>
      <xdr:rowOff>95825</xdr:rowOff>
    </xdr:from>
    <xdr:ext cx="0" cy="6350"/>
    <xdr:grpSp>
      <xdr:nvGrpSpPr>
        <xdr:cNvPr id="18" name="Group 26">
          <a:extLst>
            <a:ext uri="{FF2B5EF4-FFF2-40B4-BE49-F238E27FC236}">
              <a16:creationId xmlns:a16="http://schemas.microsoft.com/office/drawing/2014/main" id="{00000000-0008-0000-1300-000012000000}"/>
            </a:ext>
          </a:extLst>
        </xdr:cNvPr>
        <xdr:cNvGrpSpPr/>
      </xdr:nvGrpSpPr>
      <xdr:grpSpPr>
        <a:xfrm>
          <a:off x="8591585" y="2229425"/>
          <a:ext cx="0" cy="6350"/>
          <a:chOff x="0" y="0"/>
          <a:chExt cx="0" cy="6350"/>
        </a:xfrm>
      </xdr:grpSpPr>
      <xdr:sp macro="" textlink="">
        <xdr:nvSpPr>
          <xdr:cNvPr id="19" name="Shape 27">
            <a:extLst>
              <a:ext uri="{FF2B5EF4-FFF2-40B4-BE49-F238E27FC236}">
                <a16:creationId xmlns:a16="http://schemas.microsoft.com/office/drawing/2014/main" id="{00000000-0008-0000-1300-000013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20" name="Shape 28">
            <a:extLst>
              <a:ext uri="{FF2B5EF4-FFF2-40B4-BE49-F238E27FC236}">
                <a16:creationId xmlns:a16="http://schemas.microsoft.com/office/drawing/2014/main" id="{00000000-0008-0000-1300-000014000000}"/>
              </a:ext>
            </a:extLst>
          </xdr:cNvPr>
          <xdr:cNvSpPr/>
        </xdr:nvSpPr>
        <xdr:spPr>
          <a:xfrm>
            <a:off x="2" y="3176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21" name="Shape 29">
            <a:extLst>
              <a:ext uri="{FF2B5EF4-FFF2-40B4-BE49-F238E27FC236}">
                <a16:creationId xmlns:a16="http://schemas.microsoft.com/office/drawing/2014/main" id="{00000000-0008-0000-1300-000015000000}"/>
              </a:ext>
            </a:extLst>
          </xdr:cNvPr>
          <xdr:cNvSpPr/>
        </xdr:nvSpPr>
        <xdr:spPr>
          <a:xfrm>
            <a:off x="0" y="3176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2</xdr:col>
      <xdr:colOff>1610832</xdr:colOff>
      <xdr:row>7</xdr:row>
      <xdr:rowOff>248824</xdr:rowOff>
    </xdr:from>
    <xdr:ext cx="0" cy="6350"/>
    <xdr:grpSp>
      <xdr:nvGrpSpPr>
        <xdr:cNvPr id="22" name="Group 30">
          <a:extLst>
            <a:ext uri="{FF2B5EF4-FFF2-40B4-BE49-F238E27FC236}">
              <a16:creationId xmlns:a16="http://schemas.microsoft.com/office/drawing/2014/main" id="{00000000-0008-0000-1300-000016000000}"/>
            </a:ext>
          </a:extLst>
        </xdr:cNvPr>
        <xdr:cNvGrpSpPr/>
      </xdr:nvGrpSpPr>
      <xdr:grpSpPr>
        <a:xfrm>
          <a:off x="4563582" y="1896649"/>
          <a:ext cx="0" cy="6350"/>
          <a:chOff x="0" y="0"/>
          <a:chExt cx="0" cy="6350"/>
        </a:xfrm>
      </xdr:grpSpPr>
      <xdr:sp macro="" textlink="">
        <xdr:nvSpPr>
          <xdr:cNvPr id="23" name="Shape 31">
            <a:extLst>
              <a:ext uri="{FF2B5EF4-FFF2-40B4-BE49-F238E27FC236}">
                <a16:creationId xmlns:a16="http://schemas.microsoft.com/office/drawing/2014/main" id="{00000000-0008-0000-1300-000017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24" name="Shape 32">
            <a:extLst>
              <a:ext uri="{FF2B5EF4-FFF2-40B4-BE49-F238E27FC236}">
                <a16:creationId xmlns:a16="http://schemas.microsoft.com/office/drawing/2014/main" id="{00000000-0008-0000-1300-000018000000}"/>
              </a:ext>
            </a:extLst>
          </xdr:cNvPr>
          <xdr:cNvSpPr/>
        </xdr:nvSpPr>
        <xdr:spPr>
          <a:xfrm>
            <a:off x="2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25" name="Shape 33">
            <a:extLst>
              <a:ext uri="{FF2B5EF4-FFF2-40B4-BE49-F238E27FC236}">
                <a16:creationId xmlns:a16="http://schemas.microsoft.com/office/drawing/2014/main" id="{00000000-0008-0000-1300-000019000000}"/>
              </a:ext>
            </a:extLst>
          </xdr:cNvPr>
          <xdr:cNvSpPr/>
        </xdr:nvSpPr>
        <xdr:spPr>
          <a:xfrm>
            <a:off x="2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3</xdr:col>
      <xdr:colOff>561851</xdr:colOff>
      <xdr:row>7</xdr:row>
      <xdr:rowOff>248824</xdr:rowOff>
    </xdr:from>
    <xdr:ext cx="0" cy="6350"/>
    <xdr:grpSp>
      <xdr:nvGrpSpPr>
        <xdr:cNvPr id="26" name="Group 34">
          <a:extLst>
            <a:ext uri="{FF2B5EF4-FFF2-40B4-BE49-F238E27FC236}">
              <a16:creationId xmlns:a16="http://schemas.microsoft.com/office/drawing/2014/main" id="{00000000-0008-0000-1300-00001A000000}"/>
            </a:ext>
          </a:extLst>
        </xdr:cNvPr>
        <xdr:cNvGrpSpPr/>
      </xdr:nvGrpSpPr>
      <xdr:grpSpPr>
        <a:xfrm>
          <a:off x="6905501" y="1896649"/>
          <a:ext cx="0" cy="6350"/>
          <a:chOff x="0" y="0"/>
          <a:chExt cx="0" cy="6350"/>
        </a:xfrm>
      </xdr:grpSpPr>
      <xdr:sp macro="" textlink="">
        <xdr:nvSpPr>
          <xdr:cNvPr id="27" name="Shape 35">
            <a:extLst>
              <a:ext uri="{FF2B5EF4-FFF2-40B4-BE49-F238E27FC236}">
                <a16:creationId xmlns:a16="http://schemas.microsoft.com/office/drawing/2014/main" id="{00000000-0008-0000-1300-00001B000000}"/>
              </a:ext>
            </a:extLst>
          </xdr:cNvPr>
          <xdr:cNvSpPr/>
        </xdr:nvSpPr>
        <xdr:spPr>
          <a:xfrm>
            <a:off x="2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28" name="Shape 36">
            <a:extLst>
              <a:ext uri="{FF2B5EF4-FFF2-40B4-BE49-F238E27FC236}">
                <a16:creationId xmlns:a16="http://schemas.microsoft.com/office/drawing/2014/main" id="{00000000-0008-0000-1300-00001C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4</xdr:col>
      <xdr:colOff>561886</xdr:colOff>
      <xdr:row>7</xdr:row>
      <xdr:rowOff>248824</xdr:rowOff>
    </xdr:from>
    <xdr:ext cx="0" cy="6350"/>
    <xdr:grpSp>
      <xdr:nvGrpSpPr>
        <xdr:cNvPr id="29" name="Group 37">
          <a:extLst>
            <a:ext uri="{FF2B5EF4-FFF2-40B4-BE49-F238E27FC236}">
              <a16:creationId xmlns:a16="http://schemas.microsoft.com/office/drawing/2014/main" id="{00000000-0008-0000-1300-00001D000000}"/>
            </a:ext>
          </a:extLst>
        </xdr:cNvPr>
        <xdr:cNvGrpSpPr/>
      </xdr:nvGrpSpPr>
      <xdr:grpSpPr>
        <a:xfrm>
          <a:off x="7467511" y="1896649"/>
          <a:ext cx="0" cy="6350"/>
          <a:chOff x="0" y="0"/>
          <a:chExt cx="0" cy="6350"/>
        </a:xfrm>
      </xdr:grpSpPr>
      <xdr:sp macro="" textlink="">
        <xdr:nvSpPr>
          <xdr:cNvPr id="30" name="Shape 38">
            <a:extLst>
              <a:ext uri="{FF2B5EF4-FFF2-40B4-BE49-F238E27FC236}">
                <a16:creationId xmlns:a16="http://schemas.microsoft.com/office/drawing/2014/main" id="{00000000-0008-0000-1300-00001E000000}"/>
              </a:ext>
            </a:extLst>
          </xdr:cNvPr>
          <xdr:cNvSpPr/>
        </xdr:nvSpPr>
        <xdr:spPr>
          <a:xfrm>
            <a:off x="2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31" name="Shape 39">
            <a:extLst>
              <a:ext uri="{FF2B5EF4-FFF2-40B4-BE49-F238E27FC236}">
                <a16:creationId xmlns:a16="http://schemas.microsoft.com/office/drawing/2014/main" id="{00000000-0008-0000-1300-00001F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5</xdr:col>
      <xdr:colOff>561923</xdr:colOff>
      <xdr:row>7</xdr:row>
      <xdr:rowOff>248824</xdr:rowOff>
    </xdr:from>
    <xdr:ext cx="0" cy="6350"/>
    <xdr:grpSp>
      <xdr:nvGrpSpPr>
        <xdr:cNvPr id="32" name="Group 40">
          <a:extLst>
            <a:ext uri="{FF2B5EF4-FFF2-40B4-BE49-F238E27FC236}">
              <a16:creationId xmlns:a16="http://schemas.microsoft.com/office/drawing/2014/main" id="{00000000-0008-0000-1300-000020000000}"/>
            </a:ext>
          </a:extLst>
        </xdr:cNvPr>
        <xdr:cNvGrpSpPr/>
      </xdr:nvGrpSpPr>
      <xdr:grpSpPr>
        <a:xfrm>
          <a:off x="8029523" y="1896649"/>
          <a:ext cx="0" cy="6350"/>
          <a:chOff x="0" y="0"/>
          <a:chExt cx="0" cy="6350"/>
        </a:xfrm>
      </xdr:grpSpPr>
      <xdr:sp macro="" textlink="">
        <xdr:nvSpPr>
          <xdr:cNvPr id="33" name="Shape 41">
            <a:extLst>
              <a:ext uri="{FF2B5EF4-FFF2-40B4-BE49-F238E27FC236}">
                <a16:creationId xmlns:a16="http://schemas.microsoft.com/office/drawing/2014/main" id="{00000000-0008-0000-1300-000021000000}"/>
              </a:ext>
            </a:extLst>
          </xdr:cNvPr>
          <xdr:cNvSpPr/>
        </xdr:nvSpPr>
        <xdr:spPr>
          <a:xfrm>
            <a:off x="1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34" name="Shape 42">
            <a:extLst>
              <a:ext uri="{FF2B5EF4-FFF2-40B4-BE49-F238E27FC236}">
                <a16:creationId xmlns:a16="http://schemas.microsoft.com/office/drawing/2014/main" id="{00000000-0008-0000-1300-000022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35" name="Shape 43">
            <a:extLst>
              <a:ext uri="{FF2B5EF4-FFF2-40B4-BE49-F238E27FC236}">
                <a16:creationId xmlns:a16="http://schemas.microsoft.com/office/drawing/2014/main" id="{00000000-0008-0000-1300-000023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6</xdr:col>
      <xdr:colOff>561959</xdr:colOff>
      <xdr:row>7</xdr:row>
      <xdr:rowOff>248824</xdr:rowOff>
    </xdr:from>
    <xdr:ext cx="0" cy="6350"/>
    <xdr:grpSp>
      <xdr:nvGrpSpPr>
        <xdr:cNvPr id="36" name="Group 44">
          <a:extLst>
            <a:ext uri="{FF2B5EF4-FFF2-40B4-BE49-F238E27FC236}">
              <a16:creationId xmlns:a16="http://schemas.microsoft.com/office/drawing/2014/main" id="{00000000-0008-0000-1300-000024000000}"/>
            </a:ext>
          </a:extLst>
        </xdr:cNvPr>
        <xdr:cNvGrpSpPr/>
      </xdr:nvGrpSpPr>
      <xdr:grpSpPr>
        <a:xfrm>
          <a:off x="8591534" y="1896649"/>
          <a:ext cx="0" cy="6350"/>
          <a:chOff x="0" y="0"/>
          <a:chExt cx="0" cy="6350"/>
        </a:xfrm>
      </xdr:grpSpPr>
      <xdr:sp macro="" textlink="">
        <xdr:nvSpPr>
          <xdr:cNvPr id="37" name="Shape 45">
            <a:extLst>
              <a:ext uri="{FF2B5EF4-FFF2-40B4-BE49-F238E27FC236}">
                <a16:creationId xmlns:a16="http://schemas.microsoft.com/office/drawing/2014/main" id="{00000000-0008-0000-1300-000025000000}"/>
              </a:ext>
            </a:extLst>
          </xdr:cNvPr>
          <xdr:cNvSpPr/>
        </xdr:nvSpPr>
        <xdr:spPr>
          <a:xfrm>
            <a:off x="2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38" name="Shape 46">
            <a:extLst>
              <a:ext uri="{FF2B5EF4-FFF2-40B4-BE49-F238E27FC236}">
                <a16:creationId xmlns:a16="http://schemas.microsoft.com/office/drawing/2014/main" id="{00000000-0008-0000-1300-000026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8</xdr:col>
      <xdr:colOff>20</xdr:colOff>
      <xdr:row>7</xdr:row>
      <xdr:rowOff>248824</xdr:rowOff>
    </xdr:from>
    <xdr:ext cx="0" cy="6350"/>
    <xdr:grpSp>
      <xdr:nvGrpSpPr>
        <xdr:cNvPr id="39" name="Group 47">
          <a:extLst>
            <a:ext uri="{FF2B5EF4-FFF2-40B4-BE49-F238E27FC236}">
              <a16:creationId xmlns:a16="http://schemas.microsoft.com/office/drawing/2014/main" id="{00000000-0008-0000-1300-000027000000}"/>
            </a:ext>
          </a:extLst>
        </xdr:cNvPr>
        <xdr:cNvGrpSpPr/>
      </xdr:nvGrpSpPr>
      <xdr:grpSpPr>
        <a:xfrm>
          <a:off x="9153545" y="1896649"/>
          <a:ext cx="0" cy="6350"/>
          <a:chOff x="0" y="0"/>
          <a:chExt cx="0" cy="6350"/>
        </a:xfrm>
      </xdr:grpSpPr>
      <xdr:sp macro="" textlink="">
        <xdr:nvSpPr>
          <xdr:cNvPr id="40" name="Shape 48">
            <a:extLst>
              <a:ext uri="{FF2B5EF4-FFF2-40B4-BE49-F238E27FC236}">
                <a16:creationId xmlns:a16="http://schemas.microsoft.com/office/drawing/2014/main" id="{00000000-0008-0000-1300-000028000000}"/>
              </a:ext>
            </a:extLst>
          </xdr:cNvPr>
          <xdr:cNvSpPr/>
        </xdr:nvSpPr>
        <xdr:spPr>
          <a:xfrm>
            <a:off x="1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41" name="Shape 49">
            <a:extLst>
              <a:ext uri="{FF2B5EF4-FFF2-40B4-BE49-F238E27FC236}">
                <a16:creationId xmlns:a16="http://schemas.microsoft.com/office/drawing/2014/main" id="{00000000-0008-0000-1300-000029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7</xdr:col>
      <xdr:colOff>36</xdr:colOff>
      <xdr:row>8</xdr:row>
      <xdr:rowOff>95825</xdr:rowOff>
    </xdr:from>
    <xdr:ext cx="0" cy="6350"/>
    <xdr:grpSp>
      <xdr:nvGrpSpPr>
        <xdr:cNvPr id="42" name="Group 18">
          <a:extLst>
            <a:ext uri="{FF2B5EF4-FFF2-40B4-BE49-F238E27FC236}">
              <a16:creationId xmlns:a16="http://schemas.microsoft.com/office/drawing/2014/main" id="{00000000-0008-0000-1300-00002A000000}"/>
            </a:ext>
          </a:extLst>
        </xdr:cNvPr>
        <xdr:cNvGrpSpPr/>
      </xdr:nvGrpSpPr>
      <xdr:grpSpPr>
        <a:xfrm>
          <a:off x="8591586" y="2229425"/>
          <a:ext cx="0" cy="6350"/>
          <a:chOff x="0" y="0"/>
          <a:chExt cx="0" cy="6350"/>
        </a:xfrm>
      </xdr:grpSpPr>
      <xdr:sp macro="" textlink="">
        <xdr:nvSpPr>
          <xdr:cNvPr id="43" name="Shape 19">
            <a:extLst>
              <a:ext uri="{FF2B5EF4-FFF2-40B4-BE49-F238E27FC236}">
                <a16:creationId xmlns:a16="http://schemas.microsoft.com/office/drawing/2014/main" id="{00000000-0008-0000-1300-00002B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44" name="Shape 20">
            <a:extLst>
              <a:ext uri="{FF2B5EF4-FFF2-40B4-BE49-F238E27FC236}">
                <a16:creationId xmlns:a16="http://schemas.microsoft.com/office/drawing/2014/main" id="{00000000-0008-0000-1300-00002C000000}"/>
              </a:ext>
            </a:extLst>
          </xdr:cNvPr>
          <xdr:cNvSpPr/>
        </xdr:nvSpPr>
        <xdr:spPr>
          <a:xfrm>
            <a:off x="2" y="3176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45" name="Shape 21">
            <a:extLst>
              <a:ext uri="{FF2B5EF4-FFF2-40B4-BE49-F238E27FC236}">
                <a16:creationId xmlns:a16="http://schemas.microsoft.com/office/drawing/2014/main" id="{00000000-0008-0000-1300-00002D000000}"/>
              </a:ext>
            </a:extLst>
          </xdr:cNvPr>
          <xdr:cNvSpPr/>
        </xdr:nvSpPr>
        <xdr:spPr>
          <a:xfrm>
            <a:off x="0" y="3176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8</xdr:col>
      <xdr:colOff>72</xdr:colOff>
      <xdr:row>8</xdr:row>
      <xdr:rowOff>95825</xdr:rowOff>
    </xdr:from>
    <xdr:ext cx="0" cy="6350"/>
    <xdr:grpSp>
      <xdr:nvGrpSpPr>
        <xdr:cNvPr id="46" name="Group 22">
          <a:extLst>
            <a:ext uri="{FF2B5EF4-FFF2-40B4-BE49-F238E27FC236}">
              <a16:creationId xmlns:a16="http://schemas.microsoft.com/office/drawing/2014/main" id="{00000000-0008-0000-1300-00002E000000}"/>
            </a:ext>
          </a:extLst>
        </xdr:cNvPr>
        <xdr:cNvGrpSpPr/>
      </xdr:nvGrpSpPr>
      <xdr:grpSpPr>
        <a:xfrm>
          <a:off x="9153597" y="2229425"/>
          <a:ext cx="0" cy="6350"/>
          <a:chOff x="0" y="0"/>
          <a:chExt cx="0" cy="6350"/>
        </a:xfrm>
      </xdr:grpSpPr>
      <xdr:sp macro="" textlink="">
        <xdr:nvSpPr>
          <xdr:cNvPr id="47" name="Shape 23">
            <a:extLst>
              <a:ext uri="{FF2B5EF4-FFF2-40B4-BE49-F238E27FC236}">
                <a16:creationId xmlns:a16="http://schemas.microsoft.com/office/drawing/2014/main" id="{00000000-0008-0000-1300-00002F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48" name="Shape 24">
            <a:extLst>
              <a:ext uri="{FF2B5EF4-FFF2-40B4-BE49-F238E27FC236}">
                <a16:creationId xmlns:a16="http://schemas.microsoft.com/office/drawing/2014/main" id="{00000000-0008-0000-1300-000030000000}"/>
              </a:ext>
            </a:extLst>
          </xdr:cNvPr>
          <xdr:cNvSpPr/>
        </xdr:nvSpPr>
        <xdr:spPr>
          <a:xfrm>
            <a:off x="2" y="3176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49" name="Shape 25">
            <a:extLst>
              <a:ext uri="{FF2B5EF4-FFF2-40B4-BE49-F238E27FC236}">
                <a16:creationId xmlns:a16="http://schemas.microsoft.com/office/drawing/2014/main" id="{00000000-0008-0000-1300-000031000000}"/>
              </a:ext>
            </a:extLst>
          </xdr:cNvPr>
          <xdr:cNvSpPr/>
        </xdr:nvSpPr>
        <xdr:spPr>
          <a:xfrm>
            <a:off x="0" y="3176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8</xdr:col>
      <xdr:colOff>239723</xdr:colOff>
      <xdr:row>2</xdr:row>
      <xdr:rowOff>23807</xdr:rowOff>
    </xdr:from>
    <xdr:ext cx="288290" cy="288290"/>
    <xdr:grpSp>
      <xdr:nvGrpSpPr>
        <xdr:cNvPr id="50" name="Group 3">
          <a:extLst>
            <a:ext uri="{FF2B5EF4-FFF2-40B4-BE49-F238E27FC236}">
              <a16:creationId xmlns:a16="http://schemas.microsoft.com/office/drawing/2014/main" id="{00000000-0008-0000-1300-000032000000}"/>
            </a:ext>
          </a:extLst>
        </xdr:cNvPr>
        <xdr:cNvGrpSpPr/>
      </xdr:nvGrpSpPr>
      <xdr:grpSpPr>
        <a:xfrm>
          <a:off x="9393248" y="347657"/>
          <a:ext cx="288290" cy="288290"/>
          <a:chOff x="0" y="0"/>
          <a:chExt cx="288290" cy="288290"/>
        </a:xfrm>
      </xdr:grpSpPr>
      <xdr:sp macro="" textlink="">
        <xdr:nvSpPr>
          <xdr:cNvPr id="51" name="Shape 4">
            <a:extLst>
              <a:ext uri="{FF2B5EF4-FFF2-40B4-BE49-F238E27FC236}">
                <a16:creationId xmlns:a16="http://schemas.microsoft.com/office/drawing/2014/main" id="{00000000-0008-0000-1300-000033000000}"/>
              </a:ext>
            </a:extLst>
          </xdr:cNvPr>
          <xdr:cNvSpPr/>
        </xdr:nvSpPr>
        <xdr:spPr>
          <a:xfrm>
            <a:off x="0" y="0"/>
            <a:ext cx="288290" cy="288290"/>
          </a:xfrm>
          <a:custGeom>
            <a:avLst/>
            <a:gdLst/>
            <a:ahLst/>
            <a:cxnLst/>
            <a:rect l="0" t="0" r="0" b="0"/>
            <a:pathLst>
              <a:path w="288290" h="288290">
                <a:moveTo>
                  <a:pt x="288290" y="0"/>
                </a:moveTo>
                <a:lnTo>
                  <a:pt x="0" y="0"/>
                </a:lnTo>
                <a:lnTo>
                  <a:pt x="0" y="288290"/>
                </a:lnTo>
                <a:lnTo>
                  <a:pt x="288290" y="288290"/>
                </a:lnTo>
                <a:lnTo>
                  <a:pt x="288290" y="0"/>
                </a:lnTo>
                <a:close/>
              </a:path>
            </a:pathLst>
          </a:custGeom>
          <a:solidFill>
            <a:srgbClr val="B3B2B2"/>
          </a:solidFill>
        </xdr:spPr>
      </xdr:sp>
      <xdr:sp macro="" textlink="">
        <xdr:nvSpPr>
          <xdr:cNvPr id="52" name="Shape 5">
            <a:extLst>
              <a:ext uri="{FF2B5EF4-FFF2-40B4-BE49-F238E27FC236}">
                <a16:creationId xmlns:a16="http://schemas.microsoft.com/office/drawing/2014/main" id="{00000000-0008-0000-1300-000034000000}"/>
              </a:ext>
            </a:extLst>
          </xdr:cNvPr>
          <xdr:cNvSpPr/>
        </xdr:nvSpPr>
        <xdr:spPr>
          <a:xfrm>
            <a:off x="18468" y="119486"/>
            <a:ext cx="50165" cy="59055"/>
          </a:xfrm>
          <a:custGeom>
            <a:avLst/>
            <a:gdLst/>
            <a:ahLst/>
            <a:cxnLst/>
            <a:rect l="0" t="0" r="0" b="0"/>
            <a:pathLst>
              <a:path w="50165" h="59055">
                <a:moveTo>
                  <a:pt x="0" y="58826"/>
                </a:moveTo>
                <a:lnTo>
                  <a:pt x="50050" y="0"/>
                </a:lnTo>
              </a:path>
            </a:pathLst>
          </a:custGeom>
          <a:ln w="10160">
            <a:solidFill>
              <a:srgbClr val="FFFFFF"/>
            </a:solidFill>
          </a:ln>
        </xdr:spPr>
      </xdr:sp>
      <xdr:sp macro="" textlink="">
        <xdr:nvSpPr>
          <xdr:cNvPr id="53" name="Shape 6">
            <a:extLst>
              <a:ext uri="{FF2B5EF4-FFF2-40B4-BE49-F238E27FC236}">
                <a16:creationId xmlns:a16="http://schemas.microsoft.com/office/drawing/2014/main" id="{00000000-0008-0000-1300-000035000000}"/>
              </a:ext>
            </a:extLst>
          </xdr:cNvPr>
          <xdr:cNvSpPr/>
        </xdr:nvSpPr>
        <xdr:spPr>
          <a:xfrm>
            <a:off x="71264" y="118998"/>
            <a:ext cx="21590" cy="45720"/>
          </a:xfrm>
          <a:custGeom>
            <a:avLst/>
            <a:gdLst/>
            <a:ahLst/>
            <a:cxnLst/>
            <a:rect l="0" t="0" r="0" b="0"/>
            <a:pathLst>
              <a:path w="21590" h="45720">
                <a:moveTo>
                  <a:pt x="0" y="0"/>
                </a:moveTo>
                <a:lnTo>
                  <a:pt x="21285" y="45199"/>
                </a:lnTo>
              </a:path>
            </a:pathLst>
          </a:custGeom>
          <a:ln w="10160">
            <a:solidFill>
              <a:srgbClr val="FFFFFF"/>
            </a:solidFill>
          </a:ln>
        </xdr:spPr>
      </xdr:sp>
      <xdr:sp macro="" textlink="">
        <xdr:nvSpPr>
          <xdr:cNvPr id="54" name="Shape 7">
            <a:extLst>
              <a:ext uri="{FF2B5EF4-FFF2-40B4-BE49-F238E27FC236}">
                <a16:creationId xmlns:a16="http://schemas.microsoft.com/office/drawing/2014/main" id="{00000000-0008-0000-1300-000036000000}"/>
              </a:ext>
            </a:extLst>
          </xdr:cNvPr>
          <xdr:cNvSpPr/>
        </xdr:nvSpPr>
        <xdr:spPr>
          <a:xfrm>
            <a:off x="98322" y="101048"/>
            <a:ext cx="38735" cy="63500"/>
          </a:xfrm>
          <a:custGeom>
            <a:avLst/>
            <a:gdLst/>
            <a:ahLst/>
            <a:cxnLst/>
            <a:rect l="0" t="0" r="0" b="0"/>
            <a:pathLst>
              <a:path w="38735" h="63500">
                <a:moveTo>
                  <a:pt x="0" y="63322"/>
                </a:moveTo>
                <a:lnTo>
                  <a:pt x="38290" y="0"/>
                </a:lnTo>
              </a:path>
            </a:pathLst>
          </a:custGeom>
          <a:ln w="10160">
            <a:solidFill>
              <a:srgbClr val="FFFFFF"/>
            </a:solidFill>
          </a:ln>
        </xdr:spPr>
      </xdr:sp>
      <xdr:sp macro="" textlink="">
        <xdr:nvSpPr>
          <xdr:cNvPr id="55" name="Shape 8">
            <a:extLst>
              <a:ext uri="{FF2B5EF4-FFF2-40B4-BE49-F238E27FC236}">
                <a16:creationId xmlns:a16="http://schemas.microsoft.com/office/drawing/2014/main" id="{00000000-0008-0000-1300-000037000000}"/>
              </a:ext>
            </a:extLst>
          </xdr:cNvPr>
          <xdr:cNvSpPr/>
        </xdr:nvSpPr>
        <xdr:spPr>
          <a:xfrm>
            <a:off x="142948" y="104541"/>
            <a:ext cx="41275" cy="80645"/>
          </a:xfrm>
          <a:custGeom>
            <a:avLst/>
            <a:gdLst/>
            <a:ahLst/>
            <a:cxnLst/>
            <a:rect l="0" t="0" r="0" b="0"/>
            <a:pathLst>
              <a:path w="41275" h="80645">
                <a:moveTo>
                  <a:pt x="0" y="0"/>
                </a:moveTo>
                <a:lnTo>
                  <a:pt x="41122" y="80467"/>
                </a:lnTo>
              </a:path>
            </a:pathLst>
          </a:custGeom>
          <a:ln w="10160">
            <a:solidFill>
              <a:srgbClr val="FFFFFF"/>
            </a:solidFill>
          </a:ln>
        </xdr:spPr>
      </xdr:sp>
      <xdr:sp macro="" textlink="">
        <xdr:nvSpPr>
          <xdr:cNvPr id="56" name="Shape 9">
            <a:extLst>
              <a:ext uri="{FF2B5EF4-FFF2-40B4-BE49-F238E27FC236}">
                <a16:creationId xmlns:a16="http://schemas.microsoft.com/office/drawing/2014/main" id="{00000000-0008-0000-1300-000038000000}"/>
              </a:ext>
            </a:extLst>
          </xdr:cNvPr>
          <xdr:cNvSpPr/>
        </xdr:nvSpPr>
        <xdr:spPr>
          <a:xfrm>
            <a:off x="189016" y="51689"/>
            <a:ext cx="87630" cy="132715"/>
          </a:xfrm>
          <a:custGeom>
            <a:avLst/>
            <a:gdLst/>
            <a:ahLst/>
            <a:cxnLst/>
            <a:rect l="0" t="0" r="0" b="0"/>
            <a:pathLst>
              <a:path w="87630" h="132715">
                <a:moveTo>
                  <a:pt x="0" y="132194"/>
                </a:moveTo>
                <a:lnTo>
                  <a:pt x="87414" y="0"/>
                </a:lnTo>
              </a:path>
            </a:pathLst>
          </a:custGeom>
          <a:ln w="10160">
            <a:solidFill>
              <a:srgbClr val="FFFFFF"/>
            </a:solidFill>
          </a:ln>
        </xdr:spPr>
      </xdr:sp>
    </xdr:grpSp>
    <xdr:clientData/>
  </xdr:oneCellAnchor>
  <xdr:oneCellAnchor>
    <xdr:from>
      <xdr:col>1</xdr:col>
      <xdr:colOff>23810</xdr:colOff>
      <xdr:row>2</xdr:row>
      <xdr:rowOff>135254</xdr:rowOff>
    </xdr:from>
    <xdr:ext cx="7472365" cy="45719"/>
    <xdr:sp macro="" textlink="">
      <xdr:nvSpPr>
        <xdr:cNvPr id="57" name="Shape 2">
          <a:extLst>
            <a:ext uri="{FF2B5EF4-FFF2-40B4-BE49-F238E27FC236}">
              <a16:creationId xmlns:a16="http://schemas.microsoft.com/office/drawing/2014/main" id="{00000000-0008-0000-1300-000039000000}"/>
            </a:ext>
          </a:extLst>
        </xdr:cNvPr>
        <xdr:cNvSpPr/>
      </xdr:nvSpPr>
      <xdr:spPr>
        <a:xfrm flipV="1">
          <a:off x="328610" y="459104"/>
          <a:ext cx="7472365" cy="45719"/>
        </a:xfrm>
        <a:custGeom>
          <a:avLst/>
          <a:gdLst/>
          <a:ahLst/>
          <a:cxnLst/>
          <a:rect l="0" t="0" r="0" b="0"/>
          <a:pathLst>
            <a:path w="4518660">
              <a:moveTo>
                <a:pt x="0" y="0"/>
              </a:moveTo>
              <a:lnTo>
                <a:pt x="4518660" y="0"/>
              </a:lnTo>
            </a:path>
          </a:pathLst>
        </a:custGeom>
        <a:ln w="6350">
          <a:solidFill>
            <a:srgbClr val="B3B2B2"/>
          </a:solidFill>
        </a:ln>
      </xdr:spPr>
    </xdr:sp>
    <xdr:clientData/>
  </xdr:oneCellAnchor>
  <xdr:oneCellAnchor>
    <xdr:from>
      <xdr:col>7</xdr:col>
      <xdr:colOff>36</xdr:colOff>
      <xdr:row>8</xdr:row>
      <xdr:rowOff>95825</xdr:rowOff>
    </xdr:from>
    <xdr:ext cx="0" cy="6350"/>
    <xdr:grpSp>
      <xdr:nvGrpSpPr>
        <xdr:cNvPr id="58" name="Group 18">
          <a:extLst>
            <a:ext uri="{FF2B5EF4-FFF2-40B4-BE49-F238E27FC236}">
              <a16:creationId xmlns:a16="http://schemas.microsoft.com/office/drawing/2014/main" id="{00000000-0008-0000-1300-00003A000000}"/>
            </a:ext>
          </a:extLst>
        </xdr:cNvPr>
        <xdr:cNvGrpSpPr/>
      </xdr:nvGrpSpPr>
      <xdr:grpSpPr>
        <a:xfrm>
          <a:off x="8591586" y="2229425"/>
          <a:ext cx="0" cy="6350"/>
          <a:chOff x="0" y="0"/>
          <a:chExt cx="0" cy="6350"/>
        </a:xfrm>
      </xdr:grpSpPr>
      <xdr:sp macro="" textlink="">
        <xdr:nvSpPr>
          <xdr:cNvPr id="59" name="Shape 19">
            <a:extLst>
              <a:ext uri="{FF2B5EF4-FFF2-40B4-BE49-F238E27FC236}">
                <a16:creationId xmlns:a16="http://schemas.microsoft.com/office/drawing/2014/main" id="{00000000-0008-0000-1300-00003B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60" name="Shape 20">
            <a:extLst>
              <a:ext uri="{FF2B5EF4-FFF2-40B4-BE49-F238E27FC236}">
                <a16:creationId xmlns:a16="http://schemas.microsoft.com/office/drawing/2014/main" id="{00000000-0008-0000-1300-00003C000000}"/>
              </a:ext>
            </a:extLst>
          </xdr:cNvPr>
          <xdr:cNvSpPr/>
        </xdr:nvSpPr>
        <xdr:spPr>
          <a:xfrm>
            <a:off x="2" y="3176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61" name="Shape 21">
            <a:extLst>
              <a:ext uri="{FF2B5EF4-FFF2-40B4-BE49-F238E27FC236}">
                <a16:creationId xmlns:a16="http://schemas.microsoft.com/office/drawing/2014/main" id="{00000000-0008-0000-1300-00003D000000}"/>
              </a:ext>
            </a:extLst>
          </xdr:cNvPr>
          <xdr:cNvSpPr/>
        </xdr:nvSpPr>
        <xdr:spPr>
          <a:xfrm>
            <a:off x="0" y="3176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8</xdr:col>
      <xdr:colOff>72</xdr:colOff>
      <xdr:row>8</xdr:row>
      <xdr:rowOff>95825</xdr:rowOff>
    </xdr:from>
    <xdr:ext cx="0" cy="6350"/>
    <xdr:grpSp>
      <xdr:nvGrpSpPr>
        <xdr:cNvPr id="62" name="Group 22">
          <a:extLst>
            <a:ext uri="{FF2B5EF4-FFF2-40B4-BE49-F238E27FC236}">
              <a16:creationId xmlns:a16="http://schemas.microsoft.com/office/drawing/2014/main" id="{00000000-0008-0000-1300-00003E000000}"/>
            </a:ext>
          </a:extLst>
        </xdr:cNvPr>
        <xdr:cNvGrpSpPr/>
      </xdr:nvGrpSpPr>
      <xdr:grpSpPr>
        <a:xfrm>
          <a:off x="9153597" y="2229425"/>
          <a:ext cx="0" cy="6350"/>
          <a:chOff x="0" y="0"/>
          <a:chExt cx="0" cy="6350"/>
        </a:xfrm>
      </xdr:grpSpPr>
      <xdr:sp macro="" textlink="">
        <xdr:nvSpPr>
          <xdr:cNvPr id="63" name="Shape 23">
            <a:extLst>
              <a:ext uri="{FF2B5EF4-FFF2-40B4-BE49-F238E27FC236}">
                <a16:creationId xmlns:a16="http://schemas.microsoft.com/office/drawing/2014/main" id="{00000000-0008-0000-1300-00003F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64" name="Shape 24">
            <a:extLst>
              <a:ext uri="{FF2B5EF4-FFF2-40B4-BE49-F238E27FC236}">
                <a16:creationId xmlns:a16="http://schemas.microsoft.com/office/drawing/2014/main" id="{00000000-0008-0000-1300-000040000000}"/>
              </a:ext>
            </a:extLst>
          </xdr:cNvPr>
          <xdr:cNvSpPr/>
        </xdr:nvSpPr>
        <xdr:spPr>
          <a:xfrm>
            <a:off x="2" y="3176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65" name="Shape 25">
            <a:extLst>
              <a:ext uri="{FF2B5EF4-FFF2-40B4-BE49-F238E27FC236}">
                <a16:creationId xmlns:a16="http://schemas.microsoft.com/office/drawing/2014/main" id="{00000000-0008-0000-1300-000041000000}"/>
              </a:ext>
            </a:extLst>
          </xdr:cNvPr>
          <xdr:cNvSpPr/>
        </xdr:nvSpPr>
        <xdr:spPr>
          <a:xfrm>
            <a:off x="0" y="3176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465702</xdr:colOff>
      <xdr:row>12</xdr:row>
      <xdr:rowOff>386294</xdr:rowOff>
    </xdr:from>
    <xdr:ext cx="0" cy="6350"/>
    <xdr:grpSp>
      <xdr:nvGrpSpPr>
        <xdr:cNvPr id="2" name="Group 25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pSpPr/>
      </xdr:nvGrpSpPr>
      <xdr:grpSpPr>
        <a:xfrm>
          <a:off x="6809352" y="3319994"/>
          <a:ext cx="0" cy="6350"/>
          <a:chOff x="0" y="0"/>
          <a:chExt cx="0" cy="6350"/>
        </a:xfrm>
      </xdr:grpSpPr>
      <xdr:sp macro="" textlink="">
        <xdr:nvSpPr>
          <xdr:cNvPr id="3" name="Shape 26">
            <a:extLst>
              <a:ext uri="{FF2B5EF4-FFF2-40B4-BE49-F238E27FC236}">
                <a16:creationId xmlns:a16="http://schemas.microsoft.com/office/drawing/2014/main" id="{00000000-0008-0000-1900-000003000000}"/>
              </a:ext>
            </a:extLst>
          </xdr:cNvPr>
          <xdr:cNvSpPr/>
        </xdr:nvSpPr>
        <xdr:spPr>
          <a:xfrm>
            <a:off x="6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4" name="Shape 27">
            <a:extLst>
              <a:ext uri="{FF2B5EF4-FFF2-40B4-BE49-F238E27FC236}">
                <a16:creationId xmlns:a16="http://schemas.microsoft.com/office/drawing/2014/main" id="{00000000-0008-0000-1900-000004000000}"/>
              </a:ext>
            </a:extLst>
          </xdr:cNvPr>
          <xdr:cNvSpPr/>
        </xdr:nvSpPr>
        <xdr:spPr>
          <a:xfrm>
            <a:off x="0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5" name="Shape 28">
            <a:extLst>
              <a:ext uri="{FF2B5EF4-FFF2-40B4-BE49-F238E27FC236}">
                <a16:creationId xmlns:a16="http://schemas.microsoft.com/office/drawing/2014/main" id="{00000000-0008-0000-1900-000005000000}"/>
              </a:ext>
            </a:extLst>
          </xdr:cNvPr>
          <xdr:cNvSpPr/>
        </xdr:nvSpPr>
        <xdr:spPr>
          <a:xfrm>
            <a:off x="6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4</xdr:col>
      <xdr:colOff>465673</xdr:colOff>
      <xdr:row>14</xdr:row>
      <xdr:rowOff>1007</xdr:rowOff>
    </xdr:from>
    <xdr:ext cx="0" cy="6350"/>
    <xdr:grpSp>
      <xdr:nvGrpSpPr>
        <xdr:cNvPr id="6" name="Group 29">
          <a:extLst>
            <a:ext uri="{FF2B5EF4-FFF2-40B4-BE49-F238E27FC236}">
              <a16:creationId xmlns:a16="http://schemas.microsoft.com/office/drawing/2014/main" id="{00000000-0008-0000-1900-000006000000}"/>
            </a:ext>
          </a:extLst>
        </xdr:cNvPr>
        <xdr:cNvGrpSpPr/>
      </xdr:nvGrpSpPr>
      <xdr:grpSpPr>
        <a:xfrm>
          <a:off x="7371298" y="3534782"/>
          <a:ext cx="0" cy="6350"/>
          <a:chOff x="0" y="0"/>
          <a:chExt cx="0" cy="6350"/>
        </a:xfrm>
      </xdr:grpSpPr>
      <xdr:sp macro="" textlink="">
        <xdr:nvSpPr>
          <xdr:cNvPr id="7" name="Shape 30">
            <a:extLst>
              <a:ext uri="{FF2B5EF4-FFF2-40B4-BE49-F238E27FC236}">
                <a16:creationId xmlns:a16="http://schemas.microsoft.com/office/drawing/2014/main" id="{00000000-0008-0000-1900-000007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8" name="Shape 31">
            <a:extLst>
              <a:ext uri="{FF2B5EF4-FFF2-40B4-BE49-F238E27FC236}">
                <a16:creationId xmlns:a16="http://schemas.microsoft.com/office/drawing/2014/main" id="{00000000-0008-0000-1900-000008000000}"/>
              </a:ext>
            </a:extLst>
          </xdr:cNvPr>
          <xdr:cNvSpPr/>
        </xdr:nvSpPr>
        <xdr:spPr>
          <a:xfrm>
            <a:off x="5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5</xdr:col>
      <xdr:colOff>464875</xdr:colOff>
      <xdr:row>12</xdr:row>
      <xdr:rowOff>386294</xdr:rowOff>
    </xdr:from>
    <xdr:ext cx="635" cy="6350"/>
    <xdr:grpSp>
      <xdr:nvGrpSpPr>
        <xdr:cNvPr id="9" name="Group 32">
          <a:extLst>
            <a:ext uri="{FF2B5EF4-FFF2-40B4-BE49-F238E27FC236}">
              <a16:creationId xmlns:a16="http://schemas.microsoft.com/office/drawing/2014/main" id="{00000000-0008-0000-1900-000009000000}"/>
            </a:ext>
          </a:extLst>
        </xdr:cNvPr>
        <xdr:cNvGrpSpPr/>
      </xdr:nvGrpSpPr>
      <xdr:grpSpPr>
        <a:xfrm>
          <a:off x="7932475" y="3319994"/>
          <a:ext cx="635" cy="6350"/>
          <a:chOff x="0" y="0"/>
          <a:chExt cx="635" cy="6350"/>
        </a:xfrm>
      </xdr:grpSpPr>
      <xdr:sp macro="" textlink="">
        <xdr:nvSpPr>
          <xdr:cNvPr id="10" name="Shape 33">
            <a:extLst>
              <a:ext uri="{FF2B5EF4-FFF2-40B4-BE49-F238E27FC236}">
                <a16:creationId xmlns:a16="http://schemas.microsoft.com/office/drawing/2014/main" id="{00000000-0008-0000-1900-00000A000000}"/>
              </a:ext>
            </a:extLst>
          </xdr:cNvPr>
          <xdr:cNvSpPr/>
        </xdr:nvSpPr>
        <xdr:spPr>
          <a:xfrm>
            <a:off x="6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11" name="Shape 34">
            <a:extLst>
              <a:ext uri="{FF2B5EF4-FFF2-40B4-BE49-F238E27FC236}">
                <a16:creationId xmlns:a16="http://schemas.microsoft.com/office/drawing/2014/main" id="{00000000-0008-0000-1900-00000B000000}"/>
              </a:ext>
            </a:extLst>
          </xdr:cNvPr>
          <xdr:cNvSpPr/>
        </xdr:nvSpPr>
        <xdr:spPr>
          <a:xfrm>
            <a:off x="0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12" name="Shape 35">
            <a:extLst>
              <a:ext uri="{FF2B5EF4-FFF2-40B4-BE49-F238E27FC236}">
                <a16:creationId xmlns:a16="http://schemas.microsoft.com/office/drawing/2014/main" id="{00000000-0008-0000-1900-00000C000000}"/>
              </a:ext>
            </a:extLst>
          </xdr:cNvPr>
          <xdr:cNvSpPr/>
        </xdr:nvSpPr>
        <xdr:spPr>
          <a:xfrm>
            <a:off x="6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6</xdr:col>
      <xdr:colOff>464462</xdr:colOff>
      <xdr:row>12</xdr:row>
      <xdr:rowOff>386299</xdr:rowOff>
    </xdr:from>
    <xdr:ext cx="0" cy="6350"/>
    <xdr:grpSp>
      <xdr:nvGrpSpPr>
        <xdr:cNvPr id="13" name="Group 36">
          <a:extLst>
            <a:ext uri="{FF2B5EF4-FFF2-40B4-BE49-F238E27FC236}">
              <a16:creationId xmlns:a16="http://schemas.microsoft.com/office/drawing/2014/main" id="{00000000-0008-0000-1900-00000D000000}"/>
            </a:ext>
          </a:extLst>
        </xdr:cNvPr>
        <xdr:cNvGrpSpPr/>
      </xdr:nvGrpSpPr>
      <xdr:grpSpPr>
        <a:xfrm>
          <a:off x="8494037" y="3319999"/>
          <a:ext cx="0" cy="6350"/>
          <a:chOff x="0" y="0"/>
          <a:chExt cx="0" cy="6350"/>
        </a:xfrm>
      </xdr:grpSpPr>
      <xdr:sp macro="" textlink="">
        <xdr:nvSpPr>
          <xdr:cNvPr id="14" name="Shape 37">
            <a:extLst>
              <a:ext uri="{FF2B5EF4-FFF2-40B4-BE49-F238E27FC236}">
                <a16:creationId xmlns:a16="http://schemas.microsoft.com/office/drawing/2014/main" id="{00000000-0008-0000-1900-00000E000000}"/>
              </a:ext>
            </a:extLst>
          </xdr:cNvPr>
          <xdr:cNvSpPr/>
        </xdr:nvSpPr>
        <xdr:spPr>
          <a:xfrm>
            <a:off x="5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15" name="Shape 38">
            <a:extLst>
              <a:ext uri="{FF2B5EF4-FFF2-40B4-BE49-F238E27FC236}">
                <a16:creationId xmlns:a16="http://schemas.microsoft.com/office/drawing/2014/main" id="{00000000-0008-0000-1900-00000F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7</xdr:col>
      <xdr:colOff>464049</xdr:colOff>
      <xdr:row>12</xdr:row>
      <xdr:rowOff>386294</xdr:rowOff>
    </xdr:from>
    <xdr:ext cx="0" cy="6350"/>
    <xdr:grpSp>
      <xdr:nvGrpSpPr>
        <xdr:cNvPr id="16" name="Group 39">
          <a:extLst>
            <a:ext uri="{FF2B5EF4-FFF2-40B4-BE49-F238E27FC236}">
              <a16:creationId xmlns:a16="http://schemas.microsoft.com/office/drawing/2014/main" id="{00000000-0008-0000-1900-000010000000}"/>
            </a:ext>
          </a:extLst>
        </xdr:cNvPr>
        <xdr:cNvGrpSpPr/>
      </xdr:nvGrpSpPr>
      <xdr:grpSpPr>
        <a:xfrm>
          <a:off x="9055599" y="3319994"/>
          <a:ext cx="0" cy="6350"/>
          <a:chOff x="0" y="0"/>
          <a:chExt cx="0" cy="6350"/>
        </a:xfrm>
      </xdr:grpSpPr>
      <xdr:sp macro="" textlink="">
        <xdr:nvSpPr>
          <xdr:cNvPr id="17" name="Shape 40">
            <a:extLst>
              <a:ext uri="{FF2B5EF4-FFF2-40B4-BE49-F238E27FC236}">
                <a16:creationId xmlns:a16="http://schemas.microsoft.com/office/drawing/2014/main" id="{00000000-0008-0000-1900-000011000000}"/>
              </a:ext>
            </a:extLst>
          </xdr:cNvPr>
          <xdr:cNvSpPr/>
        </xdr:nvSpPr>
        <xdr:spPr>
          <a:xfrm>
            <a:off x="0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18" name="Shape 41">
            <a:extLst>
              <a:ext uri="{FF2B5EF4-FFF2-40B4-BE49-F238E27FC236}">
                <a16:creationId xmlns:a16="http://schemas.microsoft.com/office/drawing/2014/main" id="{00000000-0008-0000-1900-000012000000}"/>
              </a:ext>
            </a:extLst>
          </xdr:cNvPr>
          <xdr:cNvSpPr/>
        </xdr:nvSpPr>
        <xdr:spPr>
          <a:xfrm>
            <a:off x="6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19" name="Shape 42">
            <a:extLst>
              <a:ext uri="{FF2B5EF4-FFF2-40B4-BE49-F238E27FC236}">
                <a16:creationId xmlns:a16="http://schemas.microsoft.com/office/drawing/2014/main" id="{00000000-0008-0000-1900-000013000000}"/>
              </a:ext>
            </a:extLst>
          </xdr:cNvPr>
          <xdr:cNvSpPr/>
        </xdr:nvSpPr>
        <xdr:spPr>
          <a:xfrm>
            <a:off x="6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6</xdr:col>
      <xdr:colOff>465672</xdr:colOff>
      <xdr:row>14</xdr:row>
      <xdr:rowOff>1007</xdr:rowOff>
    </xdr:from>
    <xdr:ext cx="0" cy="6350"/>
    <xdr:grpSp>
      <xdr:nvGrpSpPr>
        <xdr:cNvPr id="20" name="Group 43">
          <a:extLst>
            <a:ext uri="{FF2B5EF4-FFF2-40B4-BE49-F238E27FC236}">
              <a16:creationId xmlns:a16="http://schemas.microsoft.com/office/drawing/2014/main" id="{00000000-0008-0000-1900-000014000000}"/>
            </a:ext>
          </a:extLst>
        </xdr:cNvPr>
        <xdr:cNvGrpSpPr/>
      </xdr:nvGrpSpPr>
      <xdr:grpSpPr>
        <a:xfrm>
          <a:off x="8495247" y="3534782"/>
          <a:ext cx="0" cy="6350"/>
          <a:chOff x="0" y="0"/>
          <a:chExt cx="0" cy="6350"/>
        </a:xfrm>
      </xdr:grpSpPr>
      <xdr:sp macro="" textlink="">
        <xdr:nvSpPr>
          <xdr:cNvPr id="21" name="Shape 44">
            <a:extLst>
              <a:ext uri="{FF2B5EF4-FFF2-40B4-BE49-F238E27FC236}">
                <a16:creationId xmlns:a16="http://schemas.microsoft.com/office/drawing/2014/main" id="{00000000-0008-0000-1900-000015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22" name="Shape 45">
            <a:extLst>
              <a:ext uri="{FF2B5EF4-FFF2-40B4-BE49-F238E27FC236}">
                <a16:creationId xmlns:a16="http://schemas.microsoft.com/office/drawing/2014/main" id="{00000000-0008-0000-1900-000016000000}"/>
              </a:ext>
            </a:extLst>
          </xdr:cNvPr>
          <xdr:cNvSpPr/>
        </xdr:nvSpPr>
        <xdr:spPr>
          <a:xfrm>
            <a:off x="5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8</xdr:col>
      <xdr:colOff>463636</xdr:colOff>
      <xdr:row>12</xdr:row>
      <xdr:rowOff>386299</xdr:rowOff>
    </xdr:from>
    <xdr:ext cx="0" cy="6350"/>
    <xdr:grpSp>
      <xdr:nvGrpSpPr>
        <xdr:cNvPr id="23" name="Group 46">
          <a:extLst>
            <a:ext uri="{FF2B5EF4-FFF2-40B4-BE49-F238E27FC236}">
              <a16:creationId xmlns:a16="http://schemas.microsoft.com/office/drawing/2014/main" id="{00000000-0008-0000-1900-000017000000}"/>
            </a:ext>
          </a:extLst>
        </xdr:cNvPr>
        <xdr:cNvGrpSpPr/>
      </xdr:nvGrpSpPr>
      <xdr:grpSpPr>
        <a:xfrm>
          <a:off x="9617161" y="3319999"/>
          <a:ext cx="0" cy="6350"/>
          <a:chOff x="0" y="0"/>
          <a:chExt cx="0" cy="6350"/>
        </a:xfrm>
      </xdr:grpSpPr>
      <xdr:sp macro="" textlink="">
        <xdr:nvSpPr>
          <xdr:cNvPr id="24" name="Shape 47">
            <a:extLst>
              <a:ext uri="{FF2B5EF4-FFF2-40B4-BE49-F238E27FC236}">
                <a16:creationId xmlns:a16="http://schemas.microsoft.com/office/drawing/2014/main" id="{00000000-0008-0000-1900-000018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25" name="Shape 48">
            <a:extLst>
              <a:ext uri="{FF2B5EF4-FFF2-40B4-BE49-F238E27FC236}">
                <a16:creationId xmlns:a16="http://schemas.microsoft.com/office/drawing/2014/main" id="{00000000-0008-0000-1900-000019000000}"/>
              </a:ext>
            </a:extLst>
          </xdr:cNvPr>
          <xdr:cNvSpPr/>
        </xdr:nvSpPr>
        <xdr:spPr>
          <a:xfrm>
            <a:off x="5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8</xdr:col>
      <xdr:colOff>465672</xdr:colOff>
      <xdr:row>14</xdr:row>
      <xdr:rowOff>1007</xdr:rowOff>
    </xdr:from>
    <xdr:ext cx="0" cy="6350"/>
    <xdr:grpSp>
      <xdr:nvGrpSpPr>
        <xdr:cNvPr id="26" name="Group 49">
          <a:extLst>
            <a:ext uri="{FF2B5EF4-FFF2-40B4-BE49-F238E27FC236}">
              <a16:creationId xmlns:a16="http://schemas.microsoft.com/office/drawing/2014/main" id="{00000000-0008-0000-1900-00001A000000}"/>
            </a:ext>
          </a:extLst>
        </xdr:cNvPr>
        <xdr:cNvGrpSpPr/>
      </xdr:nvGrpSpPr>
      <xdr:grpSpPr>
        <a:xfrm>
          <a:off x="9619197" y="3534782"/>
          <a:ext cx="0" cy="6350"/>
          <a:chOff x="0" y="0"/>
          <a:chExt cx="0" cy="6350"/>
        </a:xfrm>
      </xdr:grpSpPr>
      <xdr:sp macro="" textlink="">
        <xdr:nvSpPr>
          <xdr:cNvPr id="27" name="Shape 50">
            <a:extLst>
              <a:ext uri="{FF2B5EF4-FFF2-40B4-BE49-F238E27FC236}">
                <a16:creationId xmlns:a16="http://schemas.microsoft.com/office/drawing/2014/main" id="{00000000-0008-0000-1900-00001B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28" name="Shape 51">
            <a:extLst>
              <a:ext uri="{FF2B5EF4-FFF2-40B4-BE49-F238E27FC236}">
                <a16:creationId xmlns:a16="http://schemas.microsoft.com/office/drawing/2014/main" id="{00000000-0008-0000-1900-00001C000000}"/>
              </a:ext>
            </a:extLst>
          </xdr:cNvPr>
          <xdr:cNvSpPr/>
        </xdr:nvSpPr>
        <xdr:spPr>
          <a:xfrm>
            <a:off x="5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4</xdr:col>
      <xdr:colOff>465289</xdr:colOff>
      <xdr:row>12</xdr:row>
      <xdr:rowOff>386299</xdr:rowOff>
    </xdr:from>
    <xdr:ext cx="0" cy="6350"/>
    <xdr:grpSp>
      <xdr:nvGrpSpPr>
        <xdr:cNvPr id="29" name="Group 52">
          <a:extLst>
            <a:ext uri="{FF2B5EF4-FFF2-40B4-BE49-F238E27FC236}">
              <a16:creationId xmlns:a16="http://schemas.microsoft.com/office/drawing/2014/main" id="{00000000-0008-0000-1900-00001D000000}"/>
            </a:ext>
          </a:extLst>
        </xdr:cNvPr>
        <xdr:cNvGrpSpPr/>
      </xdr:nvGrpSpPr>
      <xdr:grpSpPr>
        <a:xfrm>
          <a:off x="7370914" y="3319999"/>
          <a:ext cx="0" cy="6350"/>
          <a:chOff x="0" y="0"/>
          <a:chExt cx="0" cy="6350"/>
        </a:xfrm>
      </xdr:grpSpPr>
      <xdr:sp macro="" textlink="">
        <xdr:nvSpPr>
          <xdr:cNvPr id="30" name="Shape 53">
            <a:extLst>
              <a:ext uri="{FF2B5EF4-FFF2-40B4-BE49-F238E27FC236}">
                <a16:creationId xmlns:a16="http://schemas.microsoft.com/office/drawing/2014/main" id="{00000000-0008-0000-1900-00001E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31" name="Shape 54">
            <a:extLst>
              <a:ext uri="{FF2B5EF4-FFF2-40B4-BE49-F238E27FC236}">
                <a16:creationId xmlns:a16="http://schemas.microsoft.com/office/drawing/2014/main" id="{00000000-0008-0000-1900-00001F000000}"/>
              </a:ext>
            </a:extLst>
          </xdr:cNvPr>
          <xdr:cNvSpPr/>
        </xdr:nvSpPr>
        <xdr:spPr>
          <a:xfrm>
            <a:off x="5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4</xdr:col>
      <xdr:colOff>465673</xdr:colOff>
      <xdr:row>12</xdr:row>
      <xdr:rowOff>239132</xdr:rowOff>
    </xdr:from>
    <xdr:ext cx="0" cy="6350"/>
    <xdr:grpSp>
      <xdr:nvGrpSpPr>
        <xdr:cNvPr id="32" name="Group 29">
          <a:extLst>
            <a:ext uri="{FF2B5EF4-FFF2-40B4-BE49-F238E27FC236}">
              <a16:creationId xmlns:a16="http://schemas.microsoft.com/office/drawing/2014/main" id="{00000000-0008-0000-1900-000020000000}"/>
            </a:ext>
          </a:extLst>
        </xdr:cNvPr>
        <xdr:cNvGrpSpPr/>
      </xdr:nvGrpSpPr>
      <xdr:grpSpPr>
        <a:xfrm>
          <a:off x="7371298" y="3172832"/>
          <a:ext cx="0" cy="6350"/>
          <a:chOff x="0" y="0"/>
          <a:chExt cx="0" cy="6350"/>
        </a:xfrm>
      </xdr:grpSpPr>
      <xdr:sp macro="" textlink="">
        <xdr:nvSpPr>
          <xdr:cNvPr id="33" name="Shape 30">
            <a:extLst>
              <a:ext uri="{FF2B5EF4-FFF2-40B4-BE49-F238E27FC236}">
                <a16:creationId xmlns:a16="http://schemas.microsoft.com/office/drawing/2014/main" id="{00000000-0008-0000-1900-000021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34" name="Shape 31">
            <a:extLst>
              <a:ext uri="{FF2B5EF4-FFF2-40B4-BE49-F238E27FC236}">
                <a16:creationId xmlns:a16="http://schemas.microsoft.com/office/drawing/2014/main" id="{00000000-0008-0000-1900-000022000000}"/>
              </a:ext>
            </a:extLst>
          </xdr:cNvPr>
          <xdr:cNvSpPr/>
        </xdr:nvSpPr>
        <xdr:spPr>
          <a:xfrm>
            <a:off x="5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2</xdr:col>
      <xdr:colOff>0</xdr:colOff>
      <xdr:row>12</xdr:row>
      <xdr:rowOff>0</xdr:rowOff>
    </xdr:from>
    <xdr:ext cx="635" cy="6350"/>
    <xdr:grpSp>
      <xdr:nvGrpSpPr>
        <xdr:cNvPr id="35" name="Group 32">
          <a:extLst>
            <a:ext uri="{FF2B5EF4-FFF2-40B4-BE49-F238E27FC236}">
              <a16:creationId xmlns:a16="http://schemas.microsoft.com/office/drawing/2014/main" id="{00000000-0008-0000-1900-000023000000}"/>
            </a:ext>
          </a:extLst>
        </xdr:cNvPr>
        <xdr:cNvGrpSpPr/>
      </xdr:nvGrpSpPr>
      <xdr:grpSpPr>
        <a:xfrm>
          <a:off x="2952750" y="2933700"/>
          <a:ext cx="635" cy="6350"/>
          <a:chOff x="0" y="0"/>
          <a:chExt cx="635" cy="6350"/>
        </a:xfrm>
      </xdr:grpSpPr>
      <xdr:sp macro="" textlink="">
        <xdr:nvSpPr>
          <xdr:cNvPr id="36" name="Shape 33">
            <a:extLst>
              <a:ext uri="{FF2B5EF4-FFF2-40B4-BE49-F238E27FC236}">
                <a16:creationId xmlns:a16="http://schemas.microsoft.com/office/drawing/2014/main" id="{00000000-0008-0000-1900-000024000000}"/>
              </a:ext>
            </a:extLst>
          </xdr:cNvPr>
          <xdr:cNvSpPr/>
        </xdr:nvSpPr>
        <xdr:spPr>
          <a:xfrm>
            <a:off x="6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37" name="Shape 34">
            <a:extLst>
              <a:ext uri="{FF2B5EF4-FFF2-40B4-BE49-F238E27FC236}">
                <a16:creationId xmlns:a16="http://schemas.microsoft.com/office/drawing/2014/main" id="{00000000-0008-0000-1900-000025000000}"/>
              </a:ext>
            </a:extLst>
          </xdr:cNvPr>
          <xdr:cNvSpPr/>
        </xdr:nvSpPr>
        <xdr:spPr>
          <a:xfrm>
            <a:off x="0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38" name="Shape 35">
            <a:extLst>
              <a:ext uri="{FF2B5EF4-FFF2-40B4-BE49-F238E27FC236}">
                <a16:creationId xmlns:a16="http://schemas.microsoft.com/office/drawing/2014/main" id="{00000000-0008-0000-1900-000026000000}"/>
              </a:ext>
            </a:extLst>
          </xdr:cNvPr>
          <xdr:cNvSpPr/>
        </xdr:nvSpPr>
        <xdr:spPr>
          <a:xfrm>
            <a:off x="6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2</xdr:col>
      <xdr:colOff>464462</xdr:colOff>
      <xdr:row>12</xdr:row>
      <xdr:rowOff>0</xdr:rowOff>
    </xdr:from>
    <xdr:ext cx="0" cy="6350"/>
    <xdr:grpSp>
      <xdr:nvGrpSpPr>
        <xdr:cNvPr id="39" name="Group 36">
          <a:extLst>
            <a:ext uri="{FF2B5EF4-FFF2-40B4-BE49-F238E27FC236}">
              <a16:creationId xmlns:a16="http://schemas.microsoft.com/office/drawing/2014/main" id="{00000000-0008-0000-1900-000027000000}"/>
            </a:ext>
          </a:extLst>
        </xdr:cNvPr>
        <xdr:cNvGrpSpPr/>
      </xdr:nvGrpSpPr>
      <xdr:grpSpPr>
        <a:xfrm>
          <a:off x="3417212" y="2933700"/>
          <a:ext cx="0" cy="6350"/>
          <a:chOff x="0" y="0"/>
          <a:chExt cx="0" cy="6350"/>
        </a:xfrm>
      </xdr:grpSpPr>
      <xdr:sp macro="" textlink="">
        <xdr:nvSpPr>
          <xdr:cNvPr id="40" name="Shape 37">
            <a:extLst>
              <a:ext uri="{FF2B5EF4-FFF2-40B4-BE49-F238E27FC236}">
                <a16:creationId xmlns:a16="http://schemas.microsoft.com/office/drawing/2014/main" id="{00000000-0008-0000-1900-000028000000}"/>
              </a:ext>
            </a:extLst>
          </xdr:cNvPr>
          <xdr:cNvSpPr/>
        </xdr:nvSpPr>
        <xdr:spPr>
          <a:xfrm>
            <a:off x="5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41" name="Shape 38">
            <a:extLst>
              <a:ext uri="{FF2B5EF4-FFF2-40B4-BE49-F238E27FC236}">
                <a16:creationId xmlns:a16="http://schemas.microsoft.com/office/drawing/2014/main" id="{00000000-0008-0000-1900-000029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3</xdr:col>
      <xdr:colOff>464049</xdr:colOff>
      <xdr:row>12</xdr:row>
      <xdr:rowOff>0</xdr:rowOff>
    </xdr:from>
    <xdr:ext cx="0" cy="6350"/>
    <xdr:grpSp>
      <xdr:nvGrpSpPr>
        <xdr:cNvPr id="42" name="Group 39">
          <a:extLst>
            <a:ext uri="{FF2B5EF4-FFF2-40B4-BE49-F238E27FC236}">
              <a16:creationId xmlns:a16="http://schemas.microsoft.com/office/drawing/2014/main" id="{00000000-0008-0000-1900-00002A000000}"/>
            </a:ext>
          </a:extLst>
        </xdr:cNvPr>
        <xdr:cNvGrpSpPr/>
      </xdr:nvGrpSpPr>
      <xdr:grpSpPr>
        <a:xfrm>
          <a:off x="6807699" y="2933700"/>
          <a:ext cx="0" cy="6350"/>
          <a:chOff x="0" y="0"/>
          <a:chExt cx="0" cy="6350"/>
        </a:xfrm>
      </xdr:grpSpPr>
      <xdr:sp macro="" textlink="">
        <xdr:nvSpPr>
          <xdr:cNvPr id="43" name="Shape 40">
            <a:extLst>
              <a:ext uri="{FF2B5EF4-FFF2-40B4-BE49-F238E27FC236}">
                <a16:creationId xmlns:a16="http://schemas.microsoft.com/office/drawing/2014/main" id="{00000000-0008-0000-1900-00002B000000}"/>
              </a:ext>
            </a:extLst>
          </xdr:cNvPr>
          <xdr:cNvSpPr/>
        </xdr:nvSpPr>
        <xdr:spPr>
          <a:xfrm>
            <a:off x="0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44" name="Shape 41">
            <a:extLst>
              <a:ext uri="{FF2B5EF4-FFF2-40B4-BE49-F238E27FC236}">
                <a16:creationId xmlns:a16="http://schemas.microsoft.com/office/drawing/2014/main" id="{00000000-0008-0000-1900-00002C000000}"/>
              </a:ext>
            </a:extLst>
          </xdr:cNvPr>
          <xdr:cNvSpPr/>
        </xdr:nvSpPr>
        <xdr:spPr>
          <a:xfrm>
            <a:off x="6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45" name="Shape 42">
            <a:extLst>
              <a:ext uri="{FF2B5EF4-FFF2-40B4-BE49-F238E27FC236}">
                <a16:creationId xmlns:a16="http://schemas.microsoft.com/office/drawing/2014/main" id="{00000000-0008-0000-1900-00002D000000}"/>
              </a:ext>
            </a:extLst>
          </xdr:cNvPr>
          <xdr:cNvSpPr/>
        </xdr:nvSpPr>
        <xdr:spPr>
          <a:xfrm>
            <a:off x="6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6</xdr:col>
      <xdr:colOff>465672</xdr:colOff>
      <xdr:row>12</xdr:row>
      <xdr:rowOff>239132</xdr:rowOff>
    </xdr:from>
    <xdr:ext cx="0" cy="6350"/>
    <xdr:grpSp>
      <xdr:nvGrpSpPr>
        <xdr:cNvPr id="46" name="Group 43">
          <a:extLst>
            <a:ext uri="{FF2B5EF4-FFF2-40B4-BE49-F238E27FC236}">
              <a16:creationId xmlns:a16="http://schemas.microsoft.com/office/drawing/2014/main" id="{00000000-0008-0000-1900-00002E000000}"/>
            </a:ext>
          </a:extLst>
        </xdr:cNvPr>
        <xdr:cNvGrpSpPr/>
      </xdr:nvGrpSpPr>
      <xdr:grpSpPr>
        <a:xfrm>
          <a:off x="8495247" y="3172832"/>
          <a:ext cx="0" cy="6350"/>
          <a:chOff x="0" y="0"/>
          <a:chExt cx="0" cy="6350"/>
        </a:xfrm>
      </xdr:grpSpPr>
      <xdr:sp macro="" textlink="">
        <xdr:nvSpPr>
          <xdr:cNvPr id="47" name="Shape 44">
            <a:extLst>
              <a:ext uri="{FF2B5EF4-FFF2-40B4-BE49-F238E27FC236}">
                <a16:creationId xmlns:a16="http://schemas.microsoft.com/office/drawing/2014/main" id="{00000000-0008-0000-1900-00002F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48" name="Shape 45">
            <a:extLst>
              <a:ext uri="{FF2B5EF4-FFF2-40B4-BE49-F238E27FC236}">
                <a16:creationId xmlns:a16="http://schemas.microsoft.com/office/drawing/2014/main" id="{00000000-0008-0000-1900-000030000000}"/>
              </a:ext>
            </a:extLst>
          </xdr:cNvPr>
          <xdr:cNvSpPr/>
        </xdr:nvSpPr>
        <xdr:spPr>
          <a:xfrm>
            <a:off x="5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4</xdr:col>
      <xdr:colOff>463636</xdr:colOff>
      <xdr:row>12</xdr:row>
      <xdr:rowOff>0</xdr:rowOff>
    </xdr:from>
    <xdr:ext cx="0" cy="6350"/>
    <xdr:grpSp>
      <xdr:nvGrpSpPr>
        <xdr:cNvPr id="49" name="Group 46">
          <a:extLst>
            <a:ext uri="{FF2B5EF4-FFF2-40B4-BE49-F238E27FC236}">
              <a16:creationId xmlns:a16="http://schemas.microsoft.com/office/drawing/2014/main" id="{00000000-0008-0000-1900-000031000000}"/>
            </a:ext>
          </a:extLst>
        </xdr:cNvPr>
        <xdr:cNvGrpSpPr/>
      </xdr:nvGrpSpPr>
      <xdr:grpSpPr>
        <a:xfrm>
          <a:off x="7369261" y="2933700"/>
          <a:ext cx="0" cy="6350"/>
          <a:chOff x="0" y="0"/>
          <a:chExt cx="0" cy="6350"/>
        </a:xfrm>
      </xdr:grpSpPr>
      <xdr:sp macro="" textlink="">
        <xdr:nvSpPr>
          <xdr:cNvPr id="50" name="Shape 47">
            <a:extLst>
              <a:ext uri="{FF2B5EF4-FFF2-40B4-BE49-F238E27FC236}">
                <a16:creationId xmlns:a16="http://schemas.microsoft.com/office/drawing/2014/main" id="{00000000-0008-0000-1900-000032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51" name="Shape 48">
            <a:extLst>
              <a:ext uri="{FF2B5EF4-FFF2-40B4-BE49-F238E27FC236}">
                <a16:creationId xmlns:a16="http://schemas.microsoft.com/office/drawing/2014/main" id="{00000000-0008-0000-1900-000033000000}"/>
              </a:ext>
            </a:extLst>
          </xdr:cNvPr>
          <xdr:cNvSpPr/>
        </xdr:nvSpPr>
        <xdr:spPr>
          <a:xfrm>
            <a:off x="5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8</xdr:col>
      <xdr:colOff>465672</xdr:colOff>
      <xdr:row>12</xdr:row>
      <xdr:rowOff>239132</xdr:rowOff>
    </xdr:from>
    <xdr:ext cx="0" cy="6350"/>
    <xdr:grpSp>
      <xdr:nvGrpSpPr>
        <xdr:cNvPr id="52" name="Group 49">
          <a:extLst>
            <a:ext uri="{FF2B5EF4-FFF2-40B4-BE49-F238E27FC236}">
              <a16:creationId xmlns:a16="http://schemas.microsoft.com/office/drawing/2014/main" id="{00000000-0008-0000-1900-000034000000}"/>
            </a:ext>
          </a:extLst>
        </xdr:cNvPr>
        <xdr:cNvGrpSpPr/>
      </xdr:nvGrpSpPr>
      <xdr:grpSpPr>
        <a:xfrm>
          <a:off x="9619197" y="3172832"/>
          <a:ext cx="0" cy="6350"/>
          <a:chOff x="0" y="0"/>
          <a:chExt cx="0" cy="6350"/>
        </a:xfrm>
      </xdr:grpSpPr>
      <xdr:sp macro="" textlink="">
        <xdr:nvSpPr>
          <xdr:cNvPr id="53" name="Shape 50">
            <a:extLst>
              <a:ext uri="{FF2B5EF4-FFF2-40B4-BE49-F238E27FC236}">
                <a16:creationId xmlns:a16="http://schemas.microsoft.com/office/drawing/2014/main" id="{00000000-0008-0000-1900-000035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54" name="Shape 51">
            <a:extLst>
              <a:ext uri="{FF2B5EF4-FFF2-40B4-BE49-F238E27FC236}">
                <a16:creationId xmlns:a16="http://schemas.microsoft.com/office/drawing/2014/main" id="{00000000-0008-0000-1900-000036000000}"/>
              </a:ext>
            </a:extLst>
          </xdr:cNvPr>
          <xdr:cNvSpPr/>
        </xdr:nvSpPr>
        <xdr:spPr>
          <a:xfrm>
            <a:off x="5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2</xdr:col>
      <xdr:colOff>0</xdr:colOff>
      <xdr:row>12</xdr:row>
      <xdr:rowOff>0</xdr:rowOff>
    </xdr:from>
    <xdr:ext cx="0" cy="6350"/>
    <xdr:grpSp>
      <xdr:nvGrpSpPr>
        <xdr:cNvPr id="55" name="Group 52">
          <a:extLst>
            <a:ext uri="{FF2B5EF4-FFF2-40B4-BE49-F238E27FC236}">
              <a16:creationId xmlns:a16="http://schemas.microsoft.com/office/drawing/2014/main" id="{00000000-0008-0000-1900-000037000000}"/>
            </a:ext>
          </a:extLst>
        </xdr:cNvPr>
        <xdr:cNvGrpSpPr/>
      </xdr:nvGrpSpPr>
      <xdr:grpSpPr>
        <a:xfrm>
          <a:off x="2952750" y="2933700"/>
          <a:ext cx="0" cy="6350"/>
          <a:chOff x="0" y="0"/>
          <a:chExt cx="0" cy="6350"/>
        </a:xfrm>
      </xdr:grpSpPr>
      <xdr:sp macro="" textlink="">
        <xdr:nvSpPr>
          <xdr:cNvPr id="56" name="Shape 53">
            <a:extLst>
              <a:ext uri="{FF2B5EF4-FFF2-40B4-BE49-F238E27FC236}">
                <a16:creationId xmlns:a16="http://schemas.microsoft.com/office/drawing/2014/main" id="{00000000-0008-0000-1900-000038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57" name="Shape 54">
            <a:extLst>
              <a:ext uri="{FF2B5EF4-FFF2-40B4-BE49-F238E27FC236}">
                <a16:creationId xmlns:a16="http://schemas.microsoft.com/office/drawing/2014/main" id="{00000000-0008-0000-1900-000039000000}"/>
              </a:ext>
            </a:extLst>
          </xdr:cNvPr>
          <xdr:cNvSpPr/>
        </xdr:nvSpPr>
        <xdr:spPr>
          <a:xfrm>
            <a:off x="5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1</xdr:col>
      <xdr:colOff>23811</xdr:colOff>
      <xdr:row>2</xdr:row>
      <xdr:rowOff>126990</xdr:rowOff>
    </xdr:from>
    <xdr:ext cx="8110539" cy="45719"/>
    <xdr:sp macro="" textlink="">
      <xdr:nvSpPr>
        <xdr:cNvPr id="58" name="Shape 2">
          <a:extLst>
            <a:ext uri="{FF2B5EF4-FFF2-40B4-BE49-F238E27FC236}">
              <a16:creationId xmlns:a16="http://schemas.microsoft.com/office/drawing/2014/main" id="{00000000-0008-0000-1900-00003A000000}"/>
            </a:ext>
          </a:extLst>
        </xdr:cNvPr>
        <xdr:cNvSpPr/>
      </xdr:nvSpPr>
      <xdr:spPr>
        <a:xfrm flipV="1">
          <a:off x="328611" y="507990"/>
          <a:ext cx="8110539" cy="45719"/>
        </a:xfrm>
        <a:custGeom>
          <a:avLst/>
          <a:gdLst/>
          <a:ahLst/>
          <a:cxnLst/>
          <a:rect l="0" t="0" r="0" b="0"/>
          <a:pathLst>
            <a:path w="4518660">
              <a:moveTo>
                <a:pt x="0" y="0"/>
              </a:moveTo>
              <a:lnTo>
                <a:pt x="4518660" y="0"/>
              </a:lnTo>
            </a:path>
          </a:pathLst>
        </a:custGeom>
        <a:ln w="6350">
          <a:solidFill>
            <a:srgbClr val="B3B2B2"/>
          </a:solidFill>
        </a:ln>
      </xdr:spPr>
    </xdr:sp>
    <xdr:clientData/>
  </xdr:oneCellAnchor>
  <xdr:oneCellAnchor>
    <xdr:from>
      <xdr:col>9</xdr:col>
      <xdr:colOff>268298</xdr:colOff>
      <xdr:row>2</xdr:row>
      <xdr:rowOff>23807</xdr:rowOff>
    </xdr:from>
    <xdr:ext cx="288290" cy="288290"/>
    <xdr:grpSp>
      <xdr:nvGrpSpPr>
        <xdr:cNvPr id="59" name="Group 3">
          <a:extLst>
            <a:ext uri="{FF2B5EF4-FFF2-40B4-BE49-F238E27FC236}">
              <a16:creationId xmlns:a16="http://schemas.microsoft.com/office/drawing/2014/main" id="{00000000-0008-0000-1900-00003B000000}"/>
            </a:ext>
          </a:extLst>
        </xdr:cNvPr>
        <xdr:cNvGrpSpPr/>
      </xdr:nvGrpSpPr>
      <xdr:grpSpPr>
        <a:xfrm>
          <a:off x="9983798" y="404807"/>
          <a:ext cx="288290" cy="288290"/>
          <a:chOff x="0" y="0"/>
          <a:chExt cx="288290" cy="288290"/>
        </a:xfrm>
      </xdr:grpSpPr>
      <xdr:sp macro="" textlink="">
        <xdr:nvSpPr>
          <xdr:cNvPr id="60" name="Shape 4">
            <a:extLst>
              <a:ext uri="{FF2B5EF4-FFF2-40B4-BE49-F238E27FC236}">
                <a16:creationId xmlns:a16="http://schemas.microsoft.com/office/drawing/2014/main" id="{00000000-0008-0000-1900-00003C000000}"/>
              </a:ext>
            </a:extLst>
          </xdr:cNvPr>
          <xdr:cNvSpPr/>
        </xdr:nvSpPr>
        <xdr:spPr>
          <a:xfrm>
            <a:off x="0" y="0"/>
            <a:ext cx="288290" cy="288290"/>
          </a:xfrm>
          <a:custGeom>
            <a:avLst/>
            <a:gdLst/>
            <a:ahLst/>
            <a:cxnLst/>
            <a:rect l="0" t="0" r="0" b="0"/>
            <a:pathLst>
              <a:path w="288290" h="288290">
                <a:moveTo>
                  <a:pt x="288290" y="0"/>
                </a:moveTo>
                <a:lnTo>
                  <a:pt x="0" y="0"/>
                </a:lnTo>
                <a:lnTo>
                  <a:pt x="0" y="288290"/>
                </a:lnTo>
                <a:lnTo>
                  <a:pt x="288290" y="288290"/>
                </a:lnTo>
                <a:lnTo>
                  <a:pt x="288290" y="0"/>
                </a:lnTo>
                <a:close/>
              </a:path>
            </a:pathLst>
          </a:custGeom>
          <a:solidFill>
            <a:srgbClr val="B3B2B2"/>
          </a:solidFill>
        </xdr:spPr>
      </xdr:sp>
      <xdr:sp macro="" textlink="">
        <xdr:nvSpPr>
          <xdr:cNvPr id="61" name="Shape 5">
            <a:extLst>
              <a:ext uri="{FF2B5EF4-FFF2-40B4-BE49-F238E27FC236}">
                <a16:creationId xmlns:a16="http://schemas.microsoft.com/office/drawing/2014/main" id="{00000000-0008-0000-1900-00003D000000}"/>
              </a:ext>
            </a:extLst>
          </xdr:cNvPr>
          <xdr:cNvSpPr/>
        </xdr:nvSpPr>
        <xdr:spPr>
          <a:xfrm>
            <a:off x="18468" y="119486"/>
            <a:ext cx="50165" cy="59055"/>
          </a:xfrm>
          <a:custGeom>
            <a:avLst/>
            <a:gdLst/>
            <a:ahLst/>
            <a:cxnLst/>
            <a:rect l="0" t="0" r="0" b="0"/>
            <a:pathLst>
              <a:path w="50165" h="59055">
                <a:moveTo>
                  <a:pt x="0" y="58826"/>
                </a:moveTo>
                <a:lnTo>
                  <a:pt x="50050" y="0"/>
                </a:lnTo>
              </a:path>
            </a:pathLst>
          </a:custGeom>
          <a:ln w="10160">
            <a:solidFill>
              <a:srgbClr val="FFFFFF"/>
            </a:solidFill>
          </a:ln>
        </xdr:spPr>
      </xdr:sp>
      <xdr:sp macro="" textlink="">
        <xdr:nvSpPr>
          <xdr:cNvPr id="62" name="Shape 6">
            <a:extLst>
              <a:ext uri="{FF2B5EF4-FFF2-40B4-BE49-F238E27FC236}">
                <a16:creationId xmlns:a16="http://schemas.microsoft.com/office/drawing/2014/main" id="{00000000-0008-0000-1900-00003E000000}"/>
              </a:ext>
            </a:extLst>
          </xdr:cNvPr>
          <xdr:cNvSpPr/>
        </xdr:nvSpPr>
        <xdr:spPr>
          <a:xfrm>
            <a:off x="71264" y="118998"/>
            <a:ext cx="21590" cy="45720"/>
          </a:xfrm>
          <a:custGeom>
            <a:avLst/>
            <a:gdLst/>
            <a:ahLst/>
            <a:cxnLst/>
            <a:rect l="0" t="0" r="0" b="0"/>
            <a:pathLst>
              <a:path w="21590" h="45720">
                <a:moveTo>
                  <a:pt x="0" y="0"/>
                </a:moveTo>
                <a:lnTo>
                  <a:pt x="21285" y="45199"/>
                </a:lnTo>
              </a:path>
            </a:pathLst>
          </a:custGeom>
          <a:ln w="10160">
            <a:solidFill>
              <a:srgbClr val="FFFFFF"/>
            </a:solidFill>
          </a:ln>
        </xdr:spPr>
      </xdr:sp>
      <xdr:sp macro="" textlink="">
        <xdr:nvSpPr>
          <xdr:cNvPr id="63" name="Shape 7">
            <a:extLst>
              <a:ext uri="{FF2B5EF4-FFF2-40B4-BE49-F238E27FC236}">
                <a16:creationId xmlns:a16="http://schemas.microsoft.com/office/drawing/2014/main" id="{00000000-0008-0000-1900-00003F000000}"/>
              </a:ext>
            </a:extLst>
          </xdr:cNvPr>
          <xdr:cNvSpPr/>
        </xdr:nvSpPr>
        <xdr:spPr>
          <a:xfrm>
            <a:off x="98322" y="101048"/>
            <a:ext cx="38735" cy="63500"/>
          </a:xfrm>
          <a:custGeom>
            <a:avLst/>
            <a:gdLst/>
            <a:ahLst/>
            <a:cxnLst/>
            <a:rect l="0" t="0" r="0" b="0"/>
            <a:pathLst>
              <a:path w="38735" h="63500">
                <a:moveTo>
                  <a:pt x="0" y="63322"/>
                </a:moveTo>
                <a:lnTo>
                  <a:pt x="38290" y="0"/>
                </a:lnTo>
              </a:path>
            </a:pathLst>
          </a:custGeom>
          <a:ln w="10160">
            <a:solidFill>
              <a:srgbClr val="FFFFFF"/>
            </a:solidFill>
          </a:ln>
        </xdr:spPr>
      </xdr:sp>
      <xdr:sp macro="" textlink="">
        <xdr:nvSpPr>
          <xdr:cNvPr id="64" name="Shape 8">
            <a:extLst>
              <a:ext uri="{FF2B5EF4-FFF2-40B4-BE49-F238E27FC236}">
                <a16:creationId xmlns:a16="http://schemas.microsoft.com/office/drawing/2014/main" id="{00000000-0008-0000-1900-000040000000}"/>
              </a:ext>
            </a:extLst>
          </xdr:cNvPr>
          <xdr:cNvSpPr/>
        </xdr:nvSpPr>
        <xdr:spPr>
          <a:xfrm>
            <a:off x="142948" y="104541"/>
            <a:ext cx="41275" cy="80645"/>
          </a:xfrm>
          <a:custGeom>
            <a:avLst/>
            <a:gdLst/>
            <a:ahLst/>
            <a:cxnLst/>
            <a:rect l="0" t="0" r="0" b="0"/>
            <a:pathLst>
              <a:path w="41275" h="80645">
                <a:moveTo>
                  <a:pt x="0" y="0"/>
                </a:moveTo>
                <a:lnTo>
                  <a:pt x="41122" y="80467"/>
                </a:lnTo>
              </a:path>
            </a:pathLst>
          </a:custGeom>
          <a:ln w="10160">
            <a:solidFill>
              <a:srgbClr val="FFFFFF"/>
            </a:solidFill>
          </a:ln>
        </xdr:spPr>
      </xdr:sp>
      <xdr:sp macro="" textlink="">
        <xdr:nvSpPr>
          <xdr:cNvPr id="65" name="Shape 9">
            <a:extLst>
              <a:ext uri="{FF2B5EF4-FFF2-40B4-BE49-F238E27FC236}">
                <a16:creationId xmlns:a16="http://schemas.microsoft.com/office/drawing/2014/main" id="{00000000-0008-0000-1900-000041000000}"/>
              </a:ext>
            </a:extLst>
          </xdr:cNvPr>
          <xdr:cNvSpPr/>
        </xdr:nvSpPr>
        <xdr:spPr>
          <a:xfrm>
            <a:off x="189016" y="51689"/>
            <a:ext cx="87630" cy="132715"/>
          </a:xfrm>
          <a:custGeom>
            <a:avLst/>
            <a:gdLst/>
            <a:ahLst/>
            <a:cxnLst/>
            <a:rect l="0" t="0" r="0" b="0"/>
            <a:pathLst>
              <a:path w="87630" h="132715">
                <a:moveTo>
                  <a:pt x="0" y="132194"/>
                </a:moveTo>
                <a:lnTo>
                  <a:pt x="87414" y="0"/>
                </a:lnTo>
              </a:path>
            </a:pathLst>
          </a:custGeom>
          <a:ln w="10160">
            <a:solidFill>
              <a:srgbClr val="FFFFFF"/>
            </a:solidFill>
          </a:ln>
        </xdr:spPr>
      </xdr:sp>
    </xdr:grp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6023994" y="4743630"/>
    <xdr:ext cx="0" cy="6350"/>
    <xdr:grpSp>
      <xdr:nvGrpSpPr>
        <xdr:cNvPr id="2" name="Group 33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pSpPr/>
      </xdr:nvGrpSpPr>
      <xdr:grpSpPr>
        <a:xfrm>
          <a:off x="6023994" y="4743630"/>
          <a:ext cx="0" cy="6350"/>
          <a:chOff x="0" y="0"/>
          <a:chExt cx="0" cy="6350"/>
        </a:xfrm>
      </xdr:grpSpPr>
      <xdr:sp macro="" textlink="">
        <xdr:nvSpPr>
          <xdr:cNvPr id="3" name="Shape 34">
            <a:extLst>
              <a:ext uri="{FF2B5EF4-FFF2-40B4-BE49-F238E27FC236}">
                <a16:creationId xmlns:a16="http://schemas.microsoft.com/office/drawing/2014/main" id="{00000000-0008-0000-1600-000003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4" name="Shape 35">
            <a:extLst>
              <a:ext uri="{FF2B5EF4-FFF2-40B4-BE49-F238E27FC236}">
                <a16:creationId xmlns:a16="http://schemas.microsoft.com/office/drawing/2014/main" id="{00000000-0008-0000-1600-000004000000}"/>
              </a:ext>
            </a:extLst>
          </xdr:cNvPr>
          <xdr:cNvSpPr/>
        </xdr:nvSpPr>
        <xdr:spPr>
          <a:xfrm>
            <a:off x="3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5" name="Shape 36">
            <a:extLst>
              <a:ext uri="{FF2B5EF4-FFF2-40B4-BE49-F238E27FC236}">
                <a16:creationId xmlns:a16="http://schemas.microsoft.com/office/drawing/2014/main" id="{00000000-0008-0000-1600-000005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absoluteAnchor>
  <xdr:absoluteAnchor>
    <xdr:pos x="3175" y="-13171"/>
    <xdr:ext cx="0" cy="6350"/>
    <xdr:grpSp>
      <xdr:nvGrpSpPr>
        <xdr:cNvPr id="6" name="Group 37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GrpSpPr/>
      </xdr:nvGrpSpPr>
      <xdr:grpSpPr>
        <a:xfrm>
          <a:off x="3175" y="-13171"/>
          <a:ext cx="0" cy="6350"/>
          <a:chOff x="0" y="0"/>
          <a:chExt cx="0" cy="6350"/>
        </a:xfrm>
      </xdr:grpSpPr>
      <xdr:sp macro="" textlink="">
        <xdr:nvSpPr>
          <xdr:cNvPr id="7" name="Shape 38">
            <a:extLst>
              <a:ext uri="{FF2B5EF4-FFF2-40B4-BE49-F238E27FC236}">
                <a16:creationId xmlns:a16="http://schemas.microsoft.com/office/drawing/2014/main" id="{00000000-0008-0000-1600-000007000000}"/>
              </a:ext>
            </a:extLst>
          </xdr:cNvPr>
          <xdr:cNvSpPr/>
        </xdr:nvSpPr>
        <xdr:spPr>
          <a:xfrm>
            <a:off x="0" y="3176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8" name="Shape 39">
            <a:extLst>
              <a:ext uri="{FF2B5EF4-FFF2-40B4-BE49-F238E27FC236}">
                <a16:creationId xmlns:a16="http://schemas.microsoft.com/office/drawing/2014/main" id="{00000000-0008-0000-1600-000008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absoluteAnchor>
  <xdr:absoluteAnchor>
    <xdr:pos x="-908484" y="7911310"/>
    <xdr:ext cx="0" cy="0"/>
    <xdr:sp macro="" textlink="">
      <xdr:nvSpPr>
        <xdr:cNvPr id="9" name="Shape 40">
          <a:extLst>
            <a:ext uri="{FF2B5EF4-FFF2-40B4-BE49-F238E27FC236}">
              <a16:creationId xmlns:a16="http://schemas.microsoft.com/office/drawing/2014/main" id="{00000000-0008-0000-1600-000009000000}"/>
            </a:ext>
          </a:extLst>
        </xdr:cNvPr>
        <xdr:cNvSpPr/>
      </xdr:nvSpPr>
      <xdr:spPr>
        <a:xfrm>
          <a:off x="-908484" y="7911310"/>
          <a:ext cx="0" cy="0"/>
        </a:xfrm>
        <a:custGeom>
          <a:avLst/>
          <a:gdLst/>
          <a:ahLst/>
          <a:cxnLst/>
          <a:rect l="0" t="0" r="0" b="0"/>
          <a:pathLst>
            <a:path>
              <a:moveTo>
                <a:pt x="4419823" y="-7921304"/>
              </a:moveTo>
              <a:lnTo>
                <a:pt x="4419823" y="-7921304"/>
              </a:lnTo>
            </a:path>
            <a:path>
              <a:moveTo>
                <a:pt x="4419823" y="-7921304"/>
              </a:moveTo>
              <a:lnTo>
                <a:pt x="4419823" y="-7921304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absoluteAnchor>
  <xdr:absoluteAnchor>
    <xdr:pos x="-908484" y="7911310"/>
    <xdr:ext cx="0" cy="0"/>
    <xdr:sp macro="" textlink="">
      <xdr:nvSpPr>
        <xdr:cNvPr id="10" name="Shape 41">
          <a:extLst>
            <a:ext uri="{FF2B5EF4-FFF2-40B4-BE49-F238E27FC236}">
              <a16:creationId xmlns:a16="http://schemas.microsoft.com/office/drawing/2014/main" id="{00000000-0008-0000-1600-00000A000000}"/>
            </a:ext>
          </a:extLst>
        </xdr:cNvPr>
        <xdr:cNvSpPr/>
      </xdr:nvSpPr>
      <xdr:spPr>
        <a:xfrm>
          <a:off x="-908484" y="7911310"/>
          <a:ext cx="0" cy="0"/>
        </a:xfrm>
        <a:custGeom>
          <a:avLst/>
          <a:gdLst/>
          <a:ahLst/>
          <a:cxnLst/>
          <a:rect l="0" t="0" r="0" b="0"/>
          <a:pathLst>
            <a:path>
              <a:moveTo>
                <a:pt x="5676151" y="-7921304"/>
              </a:moveTo>
              <a:lnTo>
                <a:pt x="5676151" y="-7921304"/>
              </a:lnTo>
            </a:path>
            <a:path>
              <a:moveTo>
                <a:pt x="5676151" y="-7921304"/>
              </a:moveTo>
              <a:lnTo>
                <a:pt x="5676151" y="-7921304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absoluteAnchor>
  <xdr:absoluteAnchor>
    <xdr:pos x="6023994" y="-13169"/>
    <xdr:ext cx="0" cy="6350"/>
    <xdr:grpSp>
      <xdr:nvGrpSpPr>
        <xdr:cNvPr id="11" name="Group 42">
          <a:extLst>
            <a:ext uri="{FF2B5EF4-FFF2-40B4-BE49-F238E27FC236}">
              <a16:creationId xmlns:a16="http://schemas.microsoft.com/office/drawing/2014/main" id="{00000000-0008-0000-1600-00000B000000}"/>
            </a:ext>
          </a:extLst>
        </xdr:cNvPr>
        <xdr:cNvGrpSpPr/>
      </xdr:nvGrpSpPr>
      <xdr:grpSpPr>
        <a:xfrm>
          <a:off x="6023994" y="-13169"/>
          <a:ext cx="0" cy="6350"/>
          <a:chOff x="0" y="0"/>
          <a:chExt cx="0" cy="6350"/>
        </a:xfrm>
      </xdr:grpSpPr>
      <xdr:sp macro="" textlink="">
        <xdr:nvSpPr>
          <xdr:cNvPr id="12" name="Shape 43">
            <a:extLst>
              <a:ext uri="{FF2B5EF4-FFF2-40B4-BE49-F238E27FC236}">
                <a16:creationId xmlns:a16="http://schemas.microsoft.com/office/drawing/2014/main" id="{00000000-0008-0000-1600-00000C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13" name="Shape 44">
            <a:extLst>
              <a:ext uri="{FF2B5EF4-FFF2-40B4-BE49-F238E27FC236}">
                <a16:creationId xmlns:a16="http://schemas.microsoft.com/office/drawing/2014/main" id="{00000000-0008-0000-1600-00000D000000}"/>
              </a:ext>
            </a:extLst>
          </xdr:cNvPr>
          <xdr:cNvSpPr/>
        </xdr:nvSpPr>
        <xdr:spPr>
          <a:xfrm>
            <a:off x="3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absoluteAnchor>
  <xdr:oneCellAnchor>
    <xdr:from>
      <xdr:col>1</xdr:col>
      <xdr:colOff>23810</xdr:colOff>
      <xdr:row>2</xdr:row>
      <xdr:rowOff>126991</xdr:rowOff>
    </xdr:from>
    <xdr:ext cx="11396665" cy="45719"/>
    <xdr:sp macro="" textlink="">
      <xdr:nvSpPr>
        <xdr:cNvPr id="14" name="Shape 2">
          <a:extLst>
            <a:ext uri="{FF2B5EF4-FFF2-40B4-BE49-F238E27FC236}">
              <a16:creationId xmlns:a16="http://schemas.microsoft.com/office/drawing/2014/main" id="{00000000-0008-0000-1600-00000E000000}"/>
            </a:ext>
          </a:extLst>
        </xdr:cNvPr>
        <xdr:cNvSpPr/>
      </xdr:nvSpPr>
      <xdr:spPr>
        <a:xfrm flipV="1">
          <a:off x="328610" y="507991"/>
          <a:ext cx="11396665" cy="45719"/>
        </a:xfrm>
        <a:custGeom>
          <a:avLst/>
          <a:gdLst/>
          <a:ahLst/>
          <a:cxnLst/>
          <a:rect l="0" t="0" r="0" b="0"/>
          <a:pathLst>
            <a:path w="4518660">
              <a:moveTo>
                <a:pt x="0" y="0"/>
              </a:moveTo>
              <a:lnTo>
                <a:pt x="4518660" y="0"/>
              </a:lnTo>
            </a:path>
          </a:pathLst>
        </a:custGeom>
        <a:ln w="6350">
          <a:solidFill>
            <a:srgbClr val="B3B2B2"/>
          </a:solidFill>
        </a:ln>
      </xdr:spPr>
    </xdr:sp>
    <xdr:clientData/>
  </xdr:oneCellAnchor>
  <xdr:oneCellAnchor>
    <xdr:from>
      <xdr:col>15</xdr:col>
      <xdr:colOff>277823</xdr:colOff>
      <xdr:row>2</xdr:row>
      <xdr:rowOff>23807</xdr:rowOff>
    </xdr:from>
    <xdr:ext cx="288290" cy="288290"/>
    <xdr:grpSp>
      <xdr:nvGrpSpPr>
        <xdr:cNvPr id="15" name="Group 3">
          <a:extLst>
            <a:ext uri="{FF2B5EF4-FFF2-40B4-BE49-F238E27FC236}">
              <a16:creationId xmlns:a16="http://schemas.microsoft.com/office/drawing/2014/main" id="{00000000-0008-0000-1600-00000F000000}"/>
            </a:ext>
          </a:extLst>
        </xdr:cNvPr>
        <xdr:cNvGrpSpPr/>
      </xdr:nvGrpSpPr>
      <xdr:grpSpPr>
        <a:xfrm>
          <a:off x="13365173" y="404807"/>
          <a:ext cx="288290" cy="288290"/>
          <a:chOff x="0" y="0"/>
          <a:chExt cx="288290" cy="288290"/>
        </a:xfrm>
      </xdr:grpSpPr>
      <xdr:sp macro="" textlink="">
        <xdr:nvSpPr>
          <xdr:cNvPr id="16" name="Shape 4">
            <a:extLst>
              <a:ext uri="{FF2B5EF4-FFF2-40B4-BE49-F238E27FC236}">
                <a16:creationId xmlns:a16="http://schemas.microsoft.com/office/drawing/2014/main" id="{00000000-0008-0000-1600-000010000000}"/>
              </a:ext>
            </a:extLst>
          </xdr:cNvPr>
          <xdr:cNvSpPr/>
        </xdr:nvSpPr>
        <xdr:spPr>
          <a:xfrm>
            <a:off x="0" y="0"/>
            <a:ext cx="288290" cy="288290"/>
          </a:xfrm>
          <a:custGeom>
            <a:avLst/>
            <a:gdLst/>
            <a:ahLst/>
            <a:cxnLst/>
            <a:rect l="0" t="0" r="0" b="0"/>
            <a:pathLst>
              <a:path w="288290" h="288290">
                <a:moveTo>
                  <a:pt x="288290" y="0"/>
                </a:moveTo>
                <a:lnTo>
                  <a:pt x="0" y="0"/>
                </a:lnTo>
                <a:lnTo>
                  <a:pt x="0" y="288290"/>
                </a:lnTo>
                <a:lnTo>
                  <a:pt x="288290" y="288290"/>
                </a:lnTo>
                <a:lnTo>
                  <a:pt x="288290" y="0"/>
                </a:lnTo>
                <a:close/>
              </a:path>
            </a:pathLst>
          </a:custGeom>
          <a:solidFill>
            <a:srgbClr val="B3B2B2"/>
          </a:solidFill>
        </xdr:spPr>
      </xdr:sp>
      <xdr:sp macro="" textlink="">
        <xdr:nvSpPr>
          <xdr:cNvPr id="17" name="Shape 5">
            <a:extLst>
              <a:ext uri="{FF2B5EF4-FFF2-40B4-BE49-F238E27FC236}">
                <a16:creationId xmlns:a16="http://schemas.microsoft.com/office/drawing/2014/main" id="{00000000-0008-0000-1600-000011000000}"/>
              </a:ext>
            </a:extLst>
          </xdr:cNvPr>
          <xdr:cNvSpPr/>
        </xdr:nvSpPr>
        <xdr:spPr>
          <a:xfrm>
            <a:off x="18468" y="119486"/>
            <a:ext cx="50165" cy="59055"/>
          </a:xfrm>
          <a:custGeom>
            <a:avLst/>
            <a:gdLst/>
            <a:ahLst/>
            <a:cxnLst/>
            <a:rect l="0" t="0" r="0" b="0"/>
            <a:pathLst>
              <a:path w="50165" h="59055">
                <a:moveTo>
                  <a:pt x="0" y="58826"/>
                </a:moveTo>
                <a:lnTo>
                  <a:pt x="50050" y="0"/>
                </a:lnTo>
              </a:path>
            </a:pathLst>
          </a:custGeom>
          <a:ln w="10160">
            <a:solidFill>
              <a:srgbClr val="FFFFFF"/>
            </a:solidFill>
          </a:ln>
        </xdr:spPr>
      </xdr:sp>
      <xdr:sp macro="" textlink="">
        <xdr:nvSpPr>
          <xdr:cNvPr id="18" name="Shape 6">
            <a:extLst>
              <a:ext uri="{FF2B5EF4-FFF2-40B4-BE49-F238E27FC236}">
                <a16:creationId xmlns:a16="http://schemas.microsoft.com/office/drawing/2014/main" id="{00000000-0008-0000-1600-000012000000}"/>
              </a:ext>
            </a:extLst>
          </xdr:cNvPr>
          <xdr:cNvSpPr/>
        </xdr:nvSpPr>
        <xdr:spPr>
          <a:xfrm>
            <a:off x="71264" y="118998"/>
            <a:ext cx="21590" cy="45720"/>
          </a:xfrm>
          <a:custGeom>
            <a:avLst/>
            <a:gdLst/>
            <a:ahLst/>
            <a:cxnLst/>
            <a:rect l="0" t="0" r="0" b="0"/>
            <a:pathLst>
              <a:path w="21590" h="45720">
                <a:moveTo>
                  <a:pt x="0" y="0"/>
                </a:moveTo>
                <a:lnTo>
                  <a:pt x="21285" y="45199"/>
                </a:lnTo>
              </a:path>
            </a:pathLst>
          </a:custGeom>
          <a:ln w="10160">
            <a:solidFill>
              <a:srgbClr val="FFFFFF"/>
            </a:solidFill>
          </a:ln>
        </xdr:spPr>
      </xdr:sp>
      <xdr:sp macro="" textlink="">
        <xdr:nvSpPr>
          <xdr:cNvPr id="19" name="Shape 7">
            <a:extLst>
              <a:ext uri="{FF2B5EF4-FFF2-40B4-BE49-F238E27FC236}">
                <a16:creationId xmlns:a16="http://schemas.microsoft.com/office/drawing/2014/main" id="{00000000-0008-0000-1600-000013000000}"/>
              </a:ext>
            </a:extLst>
          </xdr:cNvPr>
          <xdr:cNvSpPr/>
        </xdr:nvSpPr>
        <xdr:spPr>
          <a:xfrm>
            <a:off x="98322" y="101048"/>
            <a:ext cx="38735" cy="63500"/>
          </a:xfrm>
          <a:custGeom>
            <a:avLst/>
            <a:gdLst/>
            <a:ahLst/>
            <a:cxnLst/>
            <a:rect l="0" t="0" r="0" b="0"/>
            <a:pathLst>
              <a:path w="38735" h="63500">
                <a:moveTo>
                  <a:pt x="0" y="63322"/>
                </a:moveTo>
                <a:lnTo>
                  <a:pt x="38290" y="0"/>
                </a:lnTo>
              </a:path>
            </a:pathLst>
          </a:custGeom>
          <a:ln w="10160">
            <a:solidFill>
              <a:srgbClr val="FFFFFF"/>
            </a:solidFill>
          </a:ln>
        </xdr:spPr>
      </xdr:sp>
      <xdr:sp macro="" textlink="">
        <xdr:nvSpPr>
          <xdr:cNvPr id="20" name="Shape 8">
            <a:extLst>
              <a:ext uri="{FF2B5EF4-FFF2-40B4-BE49-F238E27FC236}">
                <a16:creationId xmlns:a16="http://schemas.microsoft.com/office/drawing/2014/main" id="{00000000-0008-0000-1600-000014000000}"/>
              </a:ext>
            </a:extLst>
          </xdr:cNvPr>
          <xdr:cNvSpPr/>
        </xdr:nvSpPr>
        <xdr:spPr>
          <a:xfrm>
            <a:off x="142948" y="104541"/>
            <a:ext cx="41275" cy="80645"/>
          </a:xfrm>
          <a:custGeom>
            <a:avLst/>
            <a:gdLst/>
            <a:ahLst/>
            <a:cxnLst/>
            <a:rect l="0" t="0" r="0" b="0"/>
            <a:pathLst>
              <a:path w="41275" h="80645">
                <a:moveTo>
                  <a:pt x="0" y="0"/>
                </a:moveTo>
                <a:lnTo>
                  <a:pt x="41122" y="80467"/>
                </a:lnTo>
              </a:path>
            </a:pathLst>
          </a:custGeom>
          <a:ln w="10160">
            <a:solidFill>
              <a:srgbClr val="FFFFFF"/>
            </a:solidFill>
          </a:ln>
        </xdr:spPr>
      </xdr:sp>
      <xdr:sp macro="" textlink="">
        <xdr:nvSpPr>
          <xdr:cNvPr id="21" name="Shape 9">
            <a:extLst>
              <a:ext uri="{FF2B5EF4-FFF2-40B4-BE49-F238E27FC236}">
                <a16:creationId xmlns:a16="http://schemas.microsoft.com/office/drawing/2014/main" id="{00000000-0008-0000-1600-000015000000}"/>
              </a:ext>
            </a:extLst>
          </xdr:cNvPr>
          <xdr:cNvSpPr/>
        </xdr:nvSpPr>
        <xdr:spPr>
          <a:xfrm>
            <a:off x="189016" y="51689"/>
            <a:ext cx="87630" cy="132715"/>
          </a:xfrm>
          <a:custGeom>
            <a:avLst/>
            <a:gdLst/>
            <a:ahLst/>
            <a:cxnLst/>
            <a:rect l="0" t="0" r="0" b="0"/>
            <a:pathLst>
              <a:path w="87630" h="132715">
                <a:moveTo>
                  <a:pt x="0" y="132194"/>
                </a:moveTo>
                <a:lnTo>
                  <a:pt x="87414" y="0"/>
                </a:lnTo>
              </a:path>
            </a:pathLst>
          </a:custGeom>
          <a:ln w="10160">
            <a:solidFill>
              <a:srgbClr val="FFFFFF"/>
            </a:solidFill>
          </a:ln>
        </xdr:spPr>
      </xdr:sp>
    </xdr:grp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128</xdr:colOff>
      <xdr:row>14</xdr:row>
      <xdr:rowOff>212824</xdr:rowOff>
    </xdr:from>
    <xdr:ext cx="0" cy="6350"/>
    <xdr:grpSp>
      <xdr:nvGrpSpPr>
        <xdr:cNvPr id="2" name="Group 18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pSpPr/>
      </xdr:nvGrpSpPr>
      <xdr:grpSpPr>
        <a:xfrm>
          <a:off x="7639178" y="3527524"/>
          <a:ext cx="0" cy="6350"/>
          <a:chOff x="0" y="0"/>
          <a:chExt cx="0" cy="6350"/>
        </a:xfrm>
      </xdr:grpSpPr>
      <xdr:sp macro="" textlink="">
        <xdr:nvSpPr>
          <xdr:cNvPr id="3" name="Shape 19">
            <a:extLst>
              <a:ext uri="{FF2B5EF4-FFF2-40B4-BE49-F238E27FC236}">
                <a16:creationId xmlns:a16="http://schemas.microsoft.com/office/drawing/2014/main" id="{00000000-0008-0000-1400-000003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4" name="Shape 20">
            <a:extLst>
              <a:ext uri="{FF2B5EF4-FFF2-40B4-BE49-F238E27FC236}">
                <a16:creationId xmlns:a16="http://schemas.microsoft.com/office/drawing/2014/main" id="{00000000-0008-0000-1400-000004000000}"/>
              </a:ext>
            </a:extLst>
          </xdr:cNvPr>
          <xdr:cNvSpPr/>
        </xdr:nvSpPr>
        <xdr:spPr>
          <a:xfrm>
            <a:off x="6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7</xdr:col>
      <xdr:colOff>128</xdr:colOff>
      <xdr:row>14</xdr:row>
      <xdr:rowOff>212824</xdr:rowOff>
    </xdr:from>
    <xdr:ext cx="0" cy="6350"/>
    <xdr:grpSp>
      <xdr:nvGrpSpPr>
        <xdr:cNvPr id="5" name="Group 21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GrpSpPr/>
      </xdr:nvGrpSpPr>
      <xdr:grpSpPr>
        <a:xfrm>
          <a:off x="8934578" y="3527524"/>
          <a:ext cx="0" cy="6350"/>
          <a:chOff x="0" y="0"/>
          <a:chExt cx="0" cy="6350"/>
        </a:xfrm>
      </xdr:grpSpPr>
      <xdr:sp macro="" textlink="">
        <xdr:nvSpPr>
          <xdr:cNvPr id="6" name="Shape 22">
            <a:extLst>
              <a:ext uri="{FF2B5EF4-FFF2-40B4-BE49-F238E27FC236}">
                <a16:creationId xmlns:a16="http://schemas.microsoft.com/office/drawing/2014/main" id="{00000000-0008-0000-1400-000006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7" name="Shape 23">
            <a:extLst>
              <a:ext uri="{FF2B5EF4-FFF2-40B4-BE49-F238E27FC236}">
                <a16:creationId xmlns:a16="http://schemas.microsoft.com/office/drawing/2014/main" id="{00000000-0008-0000-1400-000007000000}"/>
              </a:ext>
            </a:extLst>
          </xdr:cNvPr>
          <xdr:cNvSpPr/>
        </xdr:nvSpPr>
        <xdr:spPr>
          <a:xfrm>
            <a:off x="6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8</xdr:col>
      <xdr:colOff>262</xdr:colOff>
      <xdr:row>14</xdr:row>
      <xdr:rowOff>212822</xdr:rowOff>
    </xdr:from>
    <xdr:ext cx="0" cy="6350"/>
    <xdr:grpSp>
      <xdr:nvGrpSpPr>
        <xdr:cNvPr id="8" name="Group 24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GrpSpPr/>
      </xdr:nvGrpSpPr>
      <xdr:grpSpPr>
        <a:xfrm>
          <a:off x="9582412" y="3527522"/>
          <a:ext cx="0" cy="6350"/>
          <a:chOff x="0" y="0"/>
          <a:chExt cx="0" cy="6350"/>
        </a:xfrm>
      </xdr:grpSpPr>
      <xdr:sp macro="" textlink="">
        <xdr:nvSpPr>
          <xdr:cNvPr id="9" name="Shape 25">
            <a:extLst>
              <a:ext uri="{FF2B5EF4-FFF2-40B4-BE49-F238E27FC236}">
                <a16:creationId xmlns:a16="http://schemas.microsoft.com/office/drawing/2014/main" id="{00000000-0008-0000-1400-000009000000}"/>
              </a:ext>
            </a:extLst>
          </xdr:cNvPr>
          <xdr:cNvSpPr/>
        </xdr:nvSpPr>
        <xdr:spPr>
          <a:xfrm>
            <a:off x="0" y="3176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10" name="Shape 26">
            <a:extLst>
              <a:ext uri="{FF2B5EF4-FFF2-40B4-BE49-F238E27FC236}">
                <a16:creationId xmlns:a16="http://schemas.microsoft.com/office/drawing/2014/main" id="{00000000-0008-0000-1400-00000A000000}"/>
              </a:ext>
            </a:extLst>
          </xdr:cNvPr>
          <xdr:cNvSpPr/>
        </xdr:nvSpPr>
        <xdr:spPr>
          <a:xfrm>
            <a:off x="5" y="3176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11" name="Shape 27">
            <a:extLst>
              <a:ext uri="{FF2B5EF4-FFF2-40B4-BE49-F238E27FC236}">
                <a16:creationId xmlns:a16="http://schemas.microsoft.com/office/drawing/2014/main" id="{00000000-0008-0000-1400-00000B000000}"/>
              </a:ext>
            </a:extLst>
          </xdr:cNvPr>
          <xdr:cNvSpPr/>
        </xdr:nvSpPr>
        <xdr:spPr>
          <a:xfrm>
            <a:off x="5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9</xdr:col>
      <xdr:colOff>394</xdr:colOff>
      <xdr:row>14</xdr:row>
      <xdr:rowOff>212824</xdr:rowOff>
    </xdr:from>
    <xdr:ext cx="0" cy="6350"/>
    <xdr:grpSp>
      <xdr:nvGrpSpPr>
        <xdr:cNvPr id="12" name="Group 28">
          <a:extLst>
            <a:ext uri="{FF2B5EF4-FFF2-40B4-BE49-F238E27FC236}">
              <a16:creationId xmlns:a16="http://schemas.microsoft.com/office/drawing/2014/main" id="{00000000-0008-0000-1400-00000C000000}"/>
            </a:ext>
          </a:extLst>
        </xdr:cNvPr>
        <xdr:cNvGrpSpPr/>
      </xdr:nvGrpSpPr>
      <xdr:grpSpPr>
        <a:xfrm>
          <a:off x="10230244" y="3527524"/>
          <a:ext cx="0" cy="6350"/>
          <a:chOff x="0" y="0"/>
          <a:chExt cx="0" cy="6350"/>
        </a:xfrm>
      </xdr:grpSpPr>
      <xdr:sp macro="" textlink="">
        <xdr:nvSpPr>
          <xdr:cNvPr id="13" name="Shape 29">
            <a:extLst>
              <a:ext uri="{FF2B5EF4-FFF2-40B4-BE49-F238E27FC236}">
                <a16:creationId xmlns:a16="http://schemas.microsoft.com/office/drawing/2014/main" id="{00000000-0008-0000-1400-00000D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14" name="Shape 30">
            <a:extLst>
              <a:ext uri="{FF2B5EF4-FFF2-40B4-BE49-F238E27FC236}">
                <a16:creationId xmlns:a16="http://schemas.microsoft.com/office/drawing/2014/main" id="{00000000-0008-0000-1400-00000E000000}"/>
              </a:ext>
            </a:extLst>
          </xdr:cNvPr>
          <xdr:cNvSpPr/>
        </xdr:nvSpPr>
        <xdr:spPr>
          <a:xfrm>
            <a:off x="6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11</xdr:col>
      <xdr:colOff>129</xdr:colOff>
      <xdr:row>14</xdr:row>
      <xdr:rowOff>212824</xdr:rowOff>
    </xdr:from>
    <xdr:ext cx="0" cy="6350"/>
    <xdr:grpSp>
      <xdr:nvGrpSpPr>
        <xdr:cNvPr id="15" name="Group 31">
          <a:extLst>
            <a:ext uri="{FF2B5EF4-FFF2-40B4-BE49-F238E27FC236}">
              <a16:creationId xmlns:a16="http://schemas.microsoft.com/office/drawing/2014/main" id="{00000000-0008-0000-1400-00000F000000}"/>
            </a:ext>
          </a:extLst>
        </xdr:cNvPr>
        <xdr:cNvGrpSpPr/>
      </xdr:nvGrpSpPr>
      <xdr:grpSpPr>
        <a:xfrm>
          <a:off x="11525379" y="3527524"/>
          <a:ext cx="0" cy="6350"/>
          <a:chOff x="0" y="0"/>
          <a:chExt cx="0" cy="6350"/>
        </a:xfrm>
      </xdr:grpSpPr>
      <xdr:sp macro="" textlink="">
        <xdr:nvSpPr>
          <xdr:cNvPr id="16" name="Shape 32">
            <a:extLst>
              <a:ext uri="{FF2B5EF4-FFF2-40B4-BE49-F238E27FC236}">
                <a16:creationId xmlns:a16="http://schemas.microsoft.com/office/drawing/2014/main" id="{00000000-0008-0000-1400-000010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17" name="Shape 33">
            <a:extLst>
              <a:ext uri="{FF2B5EF4-FFF2-40B4-BE49-F238E27FC236}">
                <a16:creationId xmlns:a16="http://schemas.microsoft.com/office/drawing/2014/main" id="{00000000-0008-0000-1400-000011000000}"/>
              </a:ext>
            </a:extLst>
          </xdr:cNvPr>
          <xdr:cNvSpPr/>
        </xdr:nvSpPr>
        <xdr:spPr>
          <a:xfrm>
            <a:off x="5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2</xdr:col>
      <xdr:colOff>0</xdr:colOff>
      <xdr:row>93</xdr:row>
      <xdr:rowOff>104824</xdr:rowOff>
    </xdr:from>
    <xdr:ext cx="0" cy="6350"/>
    <xdr:grpSp>
      <xdr:nvGrpSpPr>
        <xdr:cNvPr id="18" name="Group 34">
          <a:extLst>
            <a:ext uri="{FF2B5EF4-FFF2-40B4-BE49-F238E27FC236}">
              <a16:creationId xmlns:a16="http://schemas.microsoft.com/office/drawing/2014/main" id="{00000000-0008-0000-1400-000012000000}"/>
            </a:ext>
          </a:extLst>
        </xdr:cNvPr>
        <xdr:cNvGrpSpPr/>
      </xdr:nvGrpSpPr>
      <xdr:grpSpPr>
        <a:xfrm>
          <a:off x="2952750" y="18726199"/>
          <a:ext cx="0" cy="6350"/>
          <a:chOff x="0" y="0"/>
          <a:chExt cx="0" cy="6350"/>
        </a:xfrm>
      </xdr:grpSpPr>
      <xdr:sp macro="" textlink="">
        <xdr:nvSpPr>
          <xdr:cNvPr id="19" name="Shape 35">
            <a:extLst>
              <a:ext uri="{FF2B5EF4-FFF2-40B4-BE49-F238E27FC236}">
                <a16:creationId xmlns:a16="http://schemas.microsoft.com/office/drawing/2014/main" id="{00000000-0008-0000-1400-000013000000}"/>
              </a:ext>
            </a:extLst>
          </xdr:cNvPr>
          <xdr:cNvSpPr/>
        </xdr:nvSpPr>
        <xdr:spPr>
          <a:xfrm>
            <a:off x="1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20" name="Shape 36">
            <a:extLst>
              <a:ext uri="{FF2B5EF4-FFF2-40B4-BE49-F238E27FC236}">
                <a16:creationId xmlns:a16="http://schemas.microsoft.com/office/drawing/2014/main" id="{00000000-0008-0000-1400-000014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4</xdr:col>
      <xdr:colOff>126</xdr:colOff>
      <xdr:row>93</xdr:row>
      <xdr:rowOff>104824</xdr:rowOff>
    </xdr:from>
    <xdr:ext cx="0" cy="6350"/>
    <xdr:grpSp>
      <xdr:nvGrpSpPr>
        <xdr:cNvPr id="21" name="Group 37">
          <a:extLst>
            <a:ext uri="{FF2B5EF4-FFF2-40B4-BE49-F238E27FC236}">
              <a16:creationId xmlns:a16="http://schemas.microsoft.com/office/drawing/2014/main" id="{00000000-0008-0000-1400-000015000000}"/>
            </a:ext>
          </a:extLst>
        </xdr:cNvPr>
        <xdr:cNvGrpSpPr/>
      </xdr:nvGrpSpPr>
      <xdr:grpSpPr>
        <a:xfrm>
          <a:off x="6991476" y="18726199"/>
          <a:ext cx="0" cy="6350"/>
          <a:chOff x="0" y="0"/>
          <a:chExt cx="0" cy="6350"/>
        </a:xfrm>
      </xdr:grpSpPr>
      <xdr:sp macro="" textlink="">
        <xdr:nvSpPr>
          <xdr:cNvPr id="22" name="Shape 38">
            <a:extLst>
              <a:ext uri="{FF2B5EF4-FFF2-40B4-BE49-F238E27FC236}">
                <a16:creationId xmlns:a16="http://schemas.microsoft.com/office/drawing/2014/main" id="{00000000-0008-0000-1400-000016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23" name="Shape 39">
            <a:extLst>
              <a:ext uri="{FF2B5EF4-FFF2-40B4-BE49-F238E27FC236}">
                <a16:creationId xmlns:a16="http://schemas.microsoft.com/office/drawing/2014/main" id="{00000000-0008-0000-1400-000017000000}"/>
              </a:ext>
            </a:extLst>
          </xdr:cNvPr>
          <xdr:cNvSpPr/>
        </xdr:nvSpPr>
        <xdr:spPr>
          <a:xfrm>
            <a:off x="5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5</xdr:col>
      <xdr:colOff>258</xdr:colOff>
      <xdr:row>93</xdr:row>
      <xdr:rowOff>104824</xdr:rowOff>
    </xdr:from>
    <xdr:ext cx="0" cy="6350"/>
    <xdr:grpSp>
      <xdr:nvGrpSpPr>
        <xdr:cNvPr id="24" name="Group 40">
          <a:extLst>
            <a:ext uri="{FF2B5EF4-FFF2-40B4-BE49-F238E27FC236}">
              <a16:creationId xmlns:a16="http://schemas.microsoft.com/office/drawing/2014/main" id="{00000000-0008-0000-1400-000018000000}"/>
            </a:ext>
          </a:extLst>
        </xdr:cNvPr>
        <xdr:cNvGrpSpPr/>
      </xdr:nvGrpSpPr>
      <xdr:grpSpPr>
        <a:xfrm>
          <a:off x="7639308" y="18726199"/>
          <a:ext cx="0" cy="6350"/>
          <a:chOff x="0" y="0"/>
          <a:chExt cx="0" cy="6350"/>
        </a:xfrm>
      </xdr:grpSpPr>
      <xdr:sp macro="" textlink="">
        <xdr:nvSpPr>
          <xdr:cNvPr id="25" name="Shape 41">
            <a:extLst>
              <a:ext uri="{FF2B5EF4-FFF2-40B4-BE49-F238E27FC236}">
                <a16:creationId xmlns:a16="http://schemas.microsoft.com/office/drawing/2014/main" id="{00000000-0008-0000-1400-000019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26" name="Shape 42">
            <a:extLst>
              <a:ext uri="{FF2B5EF4-FFF2-40B4-BE49-F238E27FC236}">
                <a16:creationId xmlns:a16="http://schemas.microsoft.com/office/drawing/2014/main" id="{00000000-0008-0000-1400-00001A000000}"/>
              </a:ext>
            </a:extLst>
          </xdr:cNvPr>
          <xdr:cNvSpPr/>
        </xdr:nvSpPr>
        <xdr:spPr>
          <a:xfrm>
            <a:off x="6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6</xdr:col>
      <xdr:colOff>391</xdr:colOff>
      <xdr:row>93</xdr:row>
      <xdr:rowOff>104824</xdr:rowOff>
    </xdr:from>
    <xdr:ext cx="0" cy="6350"/>
    <xdr:grpSp>
      <xdr:nvGrpSpPr>
        <xdr:cNvPr id="27" name="Group 43">
          <a:extLst>
            <a:ext uri="{FF2B5EF4-FFF2-40B4-BE49-F238E27FC236}">
              <a16:creationId xmlns:a16="http://schemas.microsoft.com/office/drawing/2014/main" id="{00000000-0008-0000-1400-00001B000000}"/>
            </a:ext>
          </a:extLst>
        </xdr:cNvPr>
        <xdr:cNvGrpSpPr/>
      </xdr:nvGrpSpPr>
      <xdr:grpSpPr>
        <a:xfrm>
          <a:off x="8287141" y="18726199"/>
          <a:ext cx="0" cy="6350"/>
          <a:chOff x="0" y="0"/>
          <a:chExt cx="0" cy="6350"/>
        </a:xfrm>
      </xdr:grpSpPr>
      <xdr:sp macro="" textlink="">
        <xdr:nvSpPr>
          <xdr:cNvPr id="28" name="Shape 44">
            <a:extLst>
              <a:ext uri="{FF2B5EF4-FFF2-40B4-BE49-F238E27FC236}">
                <a16:creationId xmlns:a16="http://schemas.microsoft.com/office/drawing/2014/main" id="{00000000-0008-0000-1400-00001C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29" name="Shape 45">
            <a:extLst>
              <a:ext uri="{FF2B5EF4-FFF2-40B4-BE49-F238E27FC236}">
                <a16:creationId xmlns:a16="http://schemas.microsoft.com/office/drawing/2014/main" id="{00000000-0008-0000-1400-00001D000000}"/>
              </a:ext>
            </a:extLst>
          </xdr:cNvPr>
          <xdr:cNvSpPr/>
        </xdr:nvSpPr>
        <xdr:spPr>
          <a:xfrm>
            <a:off x="6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7</xdr:col>
      <xdr:colOff>525</xdr:colOff>
      <xdr:row>93</xdr:row>
      <xdr:rowOff>104824</xdr:rowOff>
    </xdr:from>
    <xdr:ext cx="0" cy="6350"/>
    <xdr:grpSp>
      <xdr:nvGrpSpPr>
        <xdr:cNvPr id="30" name="Group 46">
          <a:extLst>
            <a:ext uri="{FF2B5EF4-FFF2-40B4-BE49-F238E27FC236}">
              <a16:creationId xmlns:a16="http://schemas.microsoft.com/office/drawing/2014/main" id="{00000000-0008-0000-1400-00001E000000}"/>
            </a:ext>
          </a:extLst>
        </xdr:cNvPr>
        <xdr:cNvGrpSpPr/>
      </xdr:nvGrpSpPr>
      <xdr:grpSpPr>
        <a:xfrm>
          <a:off x="8934975" y="18726199"/>
          <a:ext cx="0" cy="6350"/>
          <a:chOff x="0" y="0"/>
          <a:chExt cx="0" cy="6350"/>
        </a:xfrm>
      </xdr:grpSpPr>
      <xdr:sp macro="" textlink="">
        <xdr:nvSpPr>
          <xdr:cNvPr id="31" name="Shape 47">
            <a:extLst>
              <a:ext uri="{FF2B5EF4-FFF2-40B4-BE49-F238E27FC236}">
                <a16:creationId xmlns:a16="http://schemas.microsoft.com/office/drawing/2014/main" id="{00000000-0008-0000-1400-00001F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32" name="Shape 48">
            <a:extLst>
              <a:ext uri="{FF2B5EF4-FFF2-40B4-BE49-F238E27FC236}">
                <a16:creationId xmlns:a16="http://schemas.microsoft.com/office/drawing/2014/main" id="{00000000-0008-0000-1400-000020000000}"/>
              </a:ext>
            </a:extLst>
          </xdr:cNvPr>
          <xdr:cNvSpPr/>
        </xdr:nvSpPr>
        <xdr:spPr>
          <a:xfrm>
            <a:off x="6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7</xdr:col>
      <xdr:colOff>351018</xdr:colOff>
      <xdr:row>93</xdr:row>
      <xdr:rowOff>104824</xdr:rowOff>
    </xdr:from>
    <xdr:ext cx="351790" cy="6350"/>
    <xdr:grpSp>
      <xdr:nvGrpSpPr>
        <xdr:cNvPr id="33" name="Group 49">
          <a:extLst>
            <a:ext uri="{FF2B5EF4-FFF2-40B4-BE49-F238E27FC236}">
              <a16:creationId xmlns:a16="http://schemas.microsoft.com/office/drawing/2014/main" id="{00000000-0008-0000-1400-000021000000}"/>
            </a:ext>
          </a:extLst>
        </xdr:cNvPr>
        <xdr:cNvGrpSpPr/>
      </xdr:nvGrpSpPr>
      <xdr:grpSpPr>
        <a:xfrm>
          <a:off x="9285468" y="18726199"/>
          <a:ext cx="351790" cy="6350"/>
          <a:chOff x="0" y="0"/>
          <a:chExt cx="351790" cy="6350"/>
        </a:xfrm>
      </xdr:grpSpPr>
      <xdr:sp macro="" textlink="">
        <xdr:nvSpPr>
          <xdr:cNvPr id="34" name="Shape 50">
            <a:extLst>
              <a:ext uri="{FF2B5EF4-FFF2-40B4-BE49-F238E27FC236}">
                <a16:creationId xmlns:a16="http://schemas.microsoft.com/office/drawing/2014/main" id="{00000000-0008-0000-1400-000022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35" name="Shape 51">
            <a:extLst>
              <a:ext uri="{FF2B5EF4-FFF2-40B4-BE49-F238E27FC236}">
                <a16:creationId xmlns:a16="http://schemas.microsoft.com/office/drawing/2014/main" id="{00000000-0008-0000-1400-000023000000}"/>
              </a:ext>
            </a:extLst>
          </xdr:cNvPr>
          <xdr:cNvSpPr/>
        </xdr:nvSpPr>
        <xdr:spPr>
          <a:xfrm>
            <a:off x="19521" y="3175"/>
            <a:ext cx="322580" cy="0"/>
          </a:xfrm>
          <a:custGeom>
            <a:avLst/>
            <a:gdLst/>
            <a:ahLst/>
            <a:cxnLst/>
            <a:rect l="0" t="0" r="0" b="0"/>
            <a:pathLst>
              <a:path w="322580">
                <a:moveTo>
                  <a:pt x="0" y="0"/>
                </a:moveTo>
                <a:lnTo>
                  <a:pt x="322008" y="0"/>
                </a:lnTo>
              </a:path>
            </a:pathLst>
          </a:custGeom>
          <a:ln w="6350">
            <a:solidFill>
              <a:srgbClr val="000000"/>
            </a:solidFill>
            <a:prstDash val="dash"/>
          </a:ln>
        </xdr:spPr>
      </xdr:sp>
      <xdr:sp macro="" textlink="">
        <xdr:nvSpPr>
          <xdr:cNvPr id="36" name="Shape 52">
            <a:extLst>
              <a:ext uri="{FF2B5EF4-FFF2-40B4-BE49-F238E27FC236}">
                <a16:creationId xmlns:a16="http://schemas.microsoft.com/office/drawing/2014/main" id="{00000000-0008-0000-1400-000024000000}"/>
              </a:ext>
            </a:extLst>
          </xdr:cNvPr>
          <xdr:cNvSpPr/>
        </xdr:nvSpPr>
        <xdr:spPr>
          <a:xfrm>
            <a:off x="5" y="3175"/>
            <a:ext cx="351790" cy="0"/>
          </a:xfrm>
          <a:custGeom>
            <a:avLst/>
            <a:gdLst/>
            <a:ahLst/>
            <a:cxnLst/>
            <a:rect l="0" t="0" r="0" b="0"/>
            <a:pathLst>
              <a:path w="351790">
                <a:moveTo>
                  <a:pt x="0" y="0"/>
                </a:moveTo>
                <a:lnTo>
                  <a:pt x="0" y="0"/>
                </a:lnTo>
              </a:path>
              <a:path w="351790">
                <a:moveTo>
                  <a:pt x="351282" y="0"/>
                </a:moveTo>
                <a:lnTo>
                  <a:pt x="351282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37" name="Shape 53">
            <a:extLst>
              <a:ext uri="{FF2B5EF4-FFF2-40B4-BE49-F238E27FC236}">
                <a16:creationId xmlns:a16="http://schemas.microsoft.com/office/drawing/2014/main" id="{00000000-0008-0000-1400-000025000000}"/>
              </a:ext>
            </a:extLst>
          </xdr:cNvPr>
          <xdr:cNvSpPr/>
        </xdr:nvSpPr>
        <xdr:spPr>
          <a:xfrm>
            <a:off x="351293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10</xdr:col>
      <xdr:colOff>129</xdr:colOff>
      <xdr:row>93</xdr:row>
      <xdr:rowOff>104824</xdr:rowOff>
    </xdr:from>
    <xdr:ext cx="0" cy="6350"/>
    <xdr:grpSp>
      <xdr:nvGrpSpPr>
        <xdr:cNvPr id="38" name="Group 54">
          <a:extLst>
            <a:ext uri="{FF2B5EF4-FFF2-40B4-BE49-F238E27FC236}">
              <a16:creationId xmlns:a16="http://schemas.microsoft.com/office/drawing/2014/main" id="{00000000-0008-0000-1400-000026000000}"/>
            </a:ext>
          </a:extLst>
        </xdr:cNvPr>
        <xdr:cNvGrpSpPr/>
      </xdr:nvGrpSpPr>
      <xdr:grpSpPr>
        <a:xfrm>
          <a:off x="10877679" y="18726199"/>
          <a:ext cx="0" cy="6350"/>
          <a:chOff x="0" y="0"/>
          <a:chExt cx="0" cy="6350"/>
        </a:xfrm>
      </xdr:grpSpPr>
      <xdr:sp macro="" textlink="">
        <xdr:nvSpPr>
          <xdr:cNvPr id="39" name="Shape 55">
            <a:extLst>
              <a:ext uri="{FF2B5EF4-FFF2-40B4-BE49-F238E27FC236}">
                <a16:creationId xmlns:a16="http://schemas.microsoft.com/office/drawing/2014/main" id="{00000000-0008-0000-1400-000027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40" name="Shape 56">
            <a:extLst>
              <a:ext uri="{FF2B5EF4-FFF2-40B4-BE49-F238E27FC236}">
                <a16:creationId xmlns:a16="http://schemas.microsoft.com/office/drawing/2014/main" id="{00000000-0008-0000-1400-000028000000}"/>
              </a:ext>
            </a:extLst>
          </xdr:cNvPr>
          <xdr:cNvSpPr/>
        </xdr:nvSpPr>
        <xdr:spPr>
          <a:xfrm>
            <a:off x="6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11</xdr:col>
      <xdr:colOff>262</xdr:colOff>
      <xdr:row>93</xdr:row>
      <xdr:rowOff>104824</xdr:rowOff>
    </xdr:from>
    <xdr:ext cx="0" cy="6350"/>
    <xdr:grpSp>
      <xdr:nvGrpSpPr>
        <xdr:cNvPr id="41" name="Group 57">
          <a:extLst>
            <a:ext uri="{FF2B5EF4-FFF2-40B4-BE49-F238E27FC236}">
              <a16:creationId xmlns:a16="http://schemas.microsoft.com/office/drawing/2014/main" id="{00000000-0008-0000-1400-000029000000}"/>
            </a:ext>
          </a:extLst>
        </xdr:cNvPr>
        <xdr:cNvGrpSpPr/>
      </xdr:nvGrpSpPr>
      <xdr:grpSpPr>
        <a:xfrm>
          <a:off x="11525512" y="18726199"/>
          <a:ext cx="0" cy="6350"/>
          <a:chOff x="0" y="0"/>
          <a:chExt cx="0" cy="6350"/>
        </a:xfrm>
      </xdr:grpSpPr>
      <xdr:sp macro="" textlink="">
        <xdr:nvSpPr>
          <xdr:cNvPr id="42" name="Shape 58">
            <a:extLst>
              <a:ext uri="{FF2B5EF4-FFF2-40B4-BE49-F238E27FC236}">
                <a16:creationId xmlns:a16="http://schemas.microsoft.com/office/drawing/2014/main" id="{00000000-0008-0000-1400-00002A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43" name="Shape 59">
            <a:extLst>
              <a:ext uri="{FF2B5EF4-FFF2-40B4-BE49-F238E27FC236}">
                <a16:creationId xmlns:a16="http://schemas.microsoft.com/office/drawing/2014/main" id="{00000000-0008-0000-1400-00002B000000}"/>
              </a:ext>
            </a:extLst>
          </xdr:cNvPr>
          <xdr:cNvSpPr/>
        </xdr:nvSpPr>
        <xdr:spPr>
          <a:xfrm>
            <a:off x="5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1</xdr:col>
      <xdr:colOff>23809</xdr:colOff>
      <xdr:row>2</xdr:row>
      <xdr:rowOff>38100</xdr:rowOff>
    </xdr:from>
    <xdr:ext cx="9910765" cy="142875"/>
    <xdr:sp macro="" textlink="">
      <xdr:nvSpPr>
        <xdr:cNvPr id="44" name="Shape 2">
          <a:extLst>
            <a:ext uri="{FF2B5EF4-FFF2-40B4-BE49-F238E27FC236}">
              <a16:creationId xmlns:a16="http://schemas.microsoft.com/office/drawing/2014/main" id="{00000000-0008-0000-1400-00002C000000}"/>
            </a:ext>
          </a:extLst>
        </xdr:cNvPr>
        <xdr:cNvSpPr/>
      </xdr:nvSpPr>
      <xdr:spPr>
        <a:xfrm flipV="1">
          <a:off x="328609" y="419100"/>
          <a:ext cx="9910765" cy="142875"/>
        </a:xfrm>
        <a:custGeom>
          <a:avLst/>
          <a:gdLst/>
          <a:ahLst/>
          <a:cxnLst/>
          <a:rect l="0" t="0" r="0" b="0"/>
          <a:pathLst>
            <a:path w="4518660">
              <a:moveTo>
                <a:pt x="0" y="0"/>
              </a:moveTo>
              <a:lnTo>
                <a:pt x="4518660" y="0"/>
              </a:lnTo>
            </a:path>
          </a:pathLst>
        </a:custGeom>
        <a:ln w="6350">
          <a:solidFill>
            <a:srgbClr val="B3B2B2"/>
          </a:solidFill>
        </a:ln>
      </xdr:spPr>
    </xdr:sp>
    <xdr:clientData/>
  </xdr:oneCellAnchor>
  <xdr:oneCellAnchor>
    <xdr:from>
      <xdr:col>11</xdr:col>
      <xdr:colOff>239723</xdr:colOff>
      <xdr:row>2</xdr:row>
      <xdr:rowOff>23807</xdr:rowOff>
    </xdr:from>
    <xdr:ext cx="288290" cy="288290"/>
    <xdr:grpSp>
      <xdr:nvGrpSpPr>
        <xdr:cNvPr id="45" name="Group 3">
          <a:extLst>
            <a:ext uri="{FF2B5EF4-FFF2-40B4-BE49-F238E27FC236}">
              <a16:creationId xmlns:a16="http://schemas.microsoft.com/office/drawing/2014/main" id="{00000000-0008-0000-1400-00002D000000}"/>
            </a:ext>
          </a:extLst>
        </xdr:cNvPr>
        <xdr:cNvGrpSpPr/>
      </xdr:nvGrpSpPr>
      <xdr:grpSpPr>
        <a:xfrm>
          <a:off x="11764973" y="404807"/>
          <a:ext cx="288290" cy="288290"/>
          <a:chOff x="0" y="0"/>
          <a:chExt cx="288290" cy="288290"/>
        </a:xfrm>
      </xdr:grpSpPr>
      <xdr:sp macro="" textlink="">
        <xdr:nvSpPr>
          <xdr:cNvPr id="46" name="Shape 4">
            <a:extLst>
              <a:ext uri="{FF2B5EF4-FFF2-40B4-BE49-F238E27FC236}">
                <a16:creationId xmlns:a16="http://schemas.microsoft.com/office/drawing/2014/main" id="{00000000-0008-0000-1400-00002E000000}"/>
              </a:ext>
            </a:extLst>
          </xdr:cNvPr>
          <xdr:cNvSpPr/>
        </xdr:nvSpPr>
        <xdr:spPr>
          <a:xfrm>
            <a:off x="0" y="0"/>
            <a:ext cx="288290" cy="288290"/>
          </a:xfrm>
          <a:custGeom>
            <a:avLst/>
            <a:gdLst/>
            <a:ahLst/>
            <a:cxnLst/>
            <a:rect l="0" t="0" r="0" b="0"/>
            <a:pathLst>
              <a:path w="288290" h="288290">
                <a:moveTo>
                  <a:pt x="288290" y="0"/>
                </a:moveTo>
                <a:lnTo>
                  <a:pt x="0" y="0"/>
                </a:lnTo>
                <a:lnTo>
                  <a:pt x="0" y="288290"/>
                </a:lnTo>
                <a:lnTo>
                  <a:pt x="288290" y="288290"/>
                </a:lnTo>
                <a:lnTo>
                  <a:pt x="288290" y="0"/>
                </a:lnTo>
                <a:close/>
              </a:path>
            </a:pathLst>
          </a:custGeom>
          <a:solidFill>
            <a:srgbClr val="B3B2B2"/>
          </a:solidFill>
        </xdr:spPr>
      </xdr:sp>
      <xdr:sp macro="" textlink="">
        <xdr:nvSpPr>
          <xdr:cNvPr id="47" name="Shape 5">
            <a:extLst>
              <a:ext uri="{FF2B5EF4-FFF2-40B4-BE49-F238E27FC236}">
                <a16:creationId xmlns:a16="http://schemas.microsoft.com/office/drawing/2014/main" id="{00000000-0008-0000-1400-00002F000000}"/>
              </a:ext>
            </a:extLst>
          </xdr:cNvPr>
          <xdr:cNvSpPr/>
        </xdr:nvSpPr>
        <xdr:spPr>
          <a:xfrm>
            <a:off x="18468" y="119486"/>
            <a:ext cx="50165" cy="59055"/>
          </a:xfrm>
          <a:custGeom>
            <a:avLst/>
            <a:gdLst/>
            <a:ahLst/>
            <a:cxnLst/>
            <a:rect l="0" t="0" r="0" b="0"/>
            <a:pathLst>
              <a:path w="50165" h="59055">
                <a:moveTo>
                  <a:pt x="0" y="58826"/>
                </a:moveTo>
                <a:lnTo>
                  <a:pt x="50050" y="0"/>
                </a:lnTo>
              </a:path>
            </a:pathLst>
          </a:custGeom>
          <a:ln w="10160">
            <a:solidFill>
              <a:srgbClr val="FFFFFF"/>
            </a:solidFill>
          </a:ln>
        </xdr:spPr>
      </xdr:sp>
      <xdr:sp macro="" textlink="">
        <xdr:nvSpPr>
          <xdr:cNvPr id="48" name="Shape 6">
            <a:extLst>
              <a:ext uri="{FF2B5EF4-FFF2-40B4-BE49-F238E27FC236}">
                <a16:creationId xmlns:a16="http://schemas.microsoft.com/office/drawing/2014/main" id="{00000000-0008-0000-1400-000030000000}"/>
              </a:ext>
            </a:extLst>
          </xdr:cNvPr>
          <xdr:cNvSpPr/>
        </xdr:nvSpPr>
        <xdr:spPr>
          <a:xfrm>
            <a:off x="71264" y="118998"/>
            <a:ext cx="21590" cy="45720"/>
          </a:xfrm>
          <a:custGeom>
            <a:avLst/>
            <a:gdLst/>
            <a:ahLst/>
            <a:cxnLst/>
            <a:rect l="0" t="0" r="0" b="0"/>
            <a:pathLst>
              <a:path w="21590" h="45720">
                <a:moveTo>
                  <a:pt x="0" y="0"/>
                </a:moveTo>
                <a:lnTo>
                  <a:pt x="21285" y="45199"/>
                </a:lnTo>
              </a:path>
            </a:pathLst>
          </a:custGeom>
          <a:ln w="10160">
            <a:solidFill>
              <a:srgbClr val="FFFFFF"/>
            </a:solidFill>
          </a:ln>
        </xdr:spPr>
      </xdr:sp>
      <xdr:sp macro="" textlink="">
        <xdr:nvSpPr>
          <xdr:cNvPr id="49" name="Shape 7">
            <a:extLst>
              <a:ext uri="{FF2B5EF4-FFF2-40B4-BE49-F238E27FC236}">
                <a16:creationId xmlns:a16="http://schemas.microsoft.com/office/drawing/2014/main" id="{00000000-0008-0000-1400-000031000000}"/>
              </a:ext>
            </a:extLst>
          </xdr:cNvPr>
          <xdr:cNvSpPr/>
        </xdr:nvSpPr>
        <xdr:spPr>
          <a:xfrm>
            <a:off x="98322" y="101048"/>
            <a:ext cx="38735" cy="63500"/>
          </a:xfrm>
          <a:custGeom>
            <a:avLst/>
            <a:gdLst/>
            <a:ahLst/>
            <a:cxnLst/>
            <a:rect l="0" t="0" r="0" b="0"/>
            <a:pathLst>
              <a:path w="38735" h="63500">
                <a:moveTo>
                  <a:pt x="0" y="63322"/>
                </a:moveTo>
                <a:lnTo>
                  <a:pt x="38290" y="0"/>
                </a:lnTo>
              </a:path>
            </a:pathLst>
          </a:custGeom>
          <a:ln w="10160">
            <a:solidFill>
              <a:srgbClr val="FFFFFF"/>
            </a:solidFill>
          </a:ln>
        </xdr:spPr>
      </xdr:sp>
      <xdr:sp macro="" textlink="">
        <xdr:nvSpPr>
          <xdr:cNvPr id="50" name="Shape 8">
            <a:extLst>
              <a:ext uri="{FF2B5EF4-FFF2-40B4-BE49-F238E27FC236}">
                <a16:creationId xmlns:a16="http://schemas.microsoft.com/office/drawing/2014/main" id="{00000000-0008-0000-1400-000032000000}"/>
              </a:ext>
            </a:extLst>
          </xdr:cNvPr>
          <xdr:cNvSpPr/>
        </xdr:nvSpPr>
        <xdr:spPr>
          <a:xfrm>
            <a:off x="142948" y="104541"/>
            <a:ext cx="41275" cy="80645"/>
          </a:xfrm>
          <a:custGeom>
            <a:avLst/>
            <a:gdLst/>
            <a:ahLst/>
            <a:cxnLst/>
            <a:rect l="0" t="0" r="0" b="0"/>
            <a:pathLst>
              <a:path w="41275" h="80645">
                <a:moveTo>
                  <a:pt x="0" y="0"/>
                </a:moveTo>
                <a:lnTo>
                  <a:pt x="41122" y="80467"/>
                </a:lnTo>
              </a:path>
            </a:pathLst>
          </a:custGeom>
          <a:ln w="10160">
            <a:solidFill>
              <a:srgbClr val="FFFFFF"/>
            </a:solidFill>
          </a:ln>
        </xdr:spPr>
      </xdr:sp>
      <xdr:sp macro="" textlink="">
        <xdr:nvSpPr>
          <xdr:cNvPr id="51" name="Shape 9">
            <a:extLst>
              <a:ext uri="{FF2B5EF4-FFF2-40B4-BE49-F238E27FC236}">
                <a16:creationId xmlns:a16="http://schemas.microsoft.com/office/drawing/2014/main" id="{00000000-0008-0000-1400-000033000000}"/>
              </a:ext>
            </a:extLst>
          </xdr:cNvPr>
          <xdr:cNvSpPr/>
        </xdr:nvSpPr>
        <xdr:spPr>
          <a:xfrm>
            <a:off x="189016" y="51689"/>
            <a:ext cx="87630" cy="132715"/>
          </a:xfrm>
          <a:custGeom>
            <a:avLst/>
            <a:gdLst/>
            <a:ahLst/>
            <a:cxnLst/>
            <a:rect l="0" t="0" r="0" b="0"/>
            <a:pathLst>
              <a:path w="87630" h="132715">
                <a:moveTo>
                  <a:pt x="0" y="132194"/>
                </a:moveTo>
                <a:lnTo>
                  <a:pt x="87414" y="0"/>
                </a:lnTo>
              </a:path>
            </a:pathLst>
          </a:custGeom>
          <a:ln w="10160">
            <a:solidFill>
              <a:srgbClr val="FFFFFF"/>
            </a:solidFill>
          </a:ln>
        </xdr:spPr>
      </xdr:sp>
    </xdr:grp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19050</xdr:rowOff>
    </xdr:from>
    <xdr:to>
      <xdr:col>5</xdr:col>
      <xdr:colOff>673455</xdr:colOff>
      <xdr:row>3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AD898A0-1462-4BEC-919F-50115E6CE9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9050"/>
          <a:ext cx="7274280" cy="4667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4</xdr:rowOff>
    </xdr:from>
    <xdr:to>
      <xdr:col>5</xdr:col>
      <xdr:colOff>879938</xdr:colOff>
      <xdr:row>3</xdr:row>
      <xdr:rowOff>83347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8" y="190504"/>
          <a:ext cx="9000000" cy="5834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9865</xdr:colOff>
      <xdr:row>0</xdr:row>
      <xdr:rowOff>104776</xdr:rowOff>
    </xdr:from>
    <xdr:to>
      <xdr:col>8</xdr:col>
      <xdr:colOff>852488</xdr:colOff>
      <xdr:row>3</xdr:row>
      <xdr:rowOff>63585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115" y="104776"/>
          <a:ext cx="6829085" cy="444584"/>
        </a:xfrm>
        <a:prstGeom prst="rect">
          <a:avLst/>
        </a:prstGeom>
      </xdr:spPr>
    </xdr:pic>
    <xdr:clientData/>
  </xdr:twoCellAnchor>
  <xdr:twoCellAnchor>
    <xdr:from>
      <xdr:col>22</xdr:col>
      <xdr:colOff>57150</xdr:colOff>
      <xdr:row>19</xdr:row>
      <xdr:rowOff>95249</xdr:rowOff>
    </xdr:from>
    <xdr:to>
      <xdr:col>30</xdr:col>
      <xdr:colOff>457200</xdr:colOff>
      <xdr:row>34</xdr:row>
      <xdr:rowOff>152399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6801C7D-25D1-4C82-B6F2-B1FCE46423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66675</xdr:colOff>
      <xdr:row>6</xdr:row>
      <xdr:rowOff>95251</xdr:rowOff>
    </xdr:from>
    <xdr:to>
      <xdr:col>30</xdr:col>
      <xdr:colOff>457200</xdr:colOff>
      <xdr:row>18</xdr:row>
      <xdr:rowOff>142874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845DD61-9C36-4A73-B48A-1DF8AA2AA8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11906</xdr:colOff>
      <xdr:row>12</xdr:row>
      <xdr:rowOff>73818</xdr:rowOff>
    </xdr:from>
    <xdr:to>
      <xdr:col>22</xdr:col>
      <xdr:colOff>11906</xdr:colOff>
      <xdr:row>27</xdr:row>
      <xdr:rowOff>150019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43EA30F-1351-4A7D-845B-3AE1C7E6DC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28</xdr:row>
      <xdr:rowOff>92868</xdr:rowOff>
    </xdr:from>
    <xdr:to>
      <xdr:col>22</xdr:col>
      <xdr:colOff>0</xdr:colOff>
      <xdr:row>44</xdr:row>
      <xdr:rowOff>83343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0C36FF8-0B85-407F-9264-B23D1BD989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92866</xdr:colOff>
      <xdr:row>0</xdr:row>
      <xdr:rowOff>159548</xdr:rowOff>
    </xdr:from>
    <xdr:to>
      <xdr:col>5</xdr:col>
      <xdr:colOff>152400</xdr:colOff>
      <xdr:row>3</xdr:row>
      <xdr:rowOff>95251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3FC0A92-2C9F-4B53-BFAB-53E744CF90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66" y="159548"/>
          <a:ext cx="5222084" cy="42147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92866</xdr:colOff>
      <xdr:row>0</xdr:row>
      <xdr:rowOff>159548</xdr:rowOff>
    </xdr:from>
    <xdr:to>
      <xdr:col>5</xdr:col>
      <xdr:colOff>219075</xdr:colOff>
      <xdr:row>3</xdr:row>
      <xdr:rowOff>95251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CD083D7-477C-4E9D-8857-AD42718491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66" y="92873"/>
          <a:ext cx="5222084" cy="421478"/>
        </a:xfrm>
        <a:prstGeom prst="rect">
          <a:avLst/>
        </a:prstGeom>
      </xdr:spPr>
    </xdr:pic>
    <xdr:clientData/>
  </xdr:twoCellAnchor>
  <xdr:twoCellAnchor>
    <xdr:from>
      <xdr:col>1</xdr:col>
      <xdr:colOff>66674</xdr:colOff>
      <xdr:row>90</xdr:row>
      <xdr:rowOff>38100</xdr:rowOff>
    </xdr:from>
    <xdr:to>
      <xdr:col>5</xdr:col>
      <xdr:colOff>561974</xdr:colOff>
      <xdr:row>110</xdr:row>
      <xdr:rowOff>133350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71F7F48-AE28-4211-8C6C-A8B03BE880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92866</xdr:colOff>
      <xdr:row>0</xdr:row>
      <xdr:rowOff>159548</xdr:rowOff>
    </xdr:from>
    <xdr:to>
      <xdr:col>5</xdr:col>
      <xdr:colOff>457200</xdr:colOff>
      <xdr:row>3</xdr:row>
      <xdr:rowOff>38101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D587CF7-8A21-48FF-BC47-4D4702F1C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66" y="92873"/>
          <a:ext cx="5222084" cy="42147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235736</xdr:colOff>
      <xdr:row>1</xdr:row>
      <xdr:rowOff>35720</xdr:rowOff>
    </xdr:from>
    <xdr:to>
      <xdr:col>11</xdr:col>
      <xdr:colOff>633412</xdr:colOff>
      <xdr:row>3</xdr:row>
      <xdr:rowOff>118857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736" y="226220"/>
          <a:ext cx="9003514" cy="5832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3830</xdr:colOff>
      <xdr:row>10</xdr:row>
      <xdr:rowOff>111599</xdr:rowOff>
    </xdr:from>
    <xdr:to>
      <xdr:col>4</xdr:col>
      <xdr:colOff>3830</xdr:colOff>
      <xdr:row>10</xdr:row>
      <xdr:rowOff>117949</xdr:rowOff>
    </xdr:to>
    <xdr:grpSp>
      <xdr:nvGrpSpPr>
        <xdr:cNvPr id="2" name="Group 2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pSpPr/>
      </xdr:nvGrpSpPr>
      <xdr:grpSpPr>
        <a:xfrm>
          <a:off x="6909455" y="2702399"/>
          <a:ext cx="0" cy="6350"/>
          <a:chOff x="0" y="0"/>
          <a:chExt cx="0" cy="6350"/>
        </a:xfrm>
      </xdr:grpSpPr>
      <xdr:sp macro="" textlink="">
        <xdr:nvSpPr>
          <xdr:cNvPr id="3" name="Shape 3">
            <a:extLst>
              <a:ext uri="{FF2B5EF4-FFF2-40B4-BE49-F238E27FC236}">
                <a16:creationId xmlns:a16="http://schemas.microsoft.com/office/drawing/2014/main" id="{00000000-0008-0000-1800-000003000000}"/>
              </a:ext>
            </a:extLst>
          </xdr:cNvPr>
          <xdr:cNvSpPr/>
        </xdr:nvSpPr>
        <xdr:spPr>
          <a:xfrm>
            <a:off x="3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4" name="Shape 4">
            <a:extLst>
              <a:ext uri="{FF2B5EF4-FFF2-40B4-BE49-F238E27FC236}">
                <a16:creationId xmlns:a16="http://schemas.microsoft.com/office/drawing/2014/main" id="{00000000-0008-0000-1800-000004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5" name="Shape 5">
            <a:extLst>
              <a:ext uri="{FF2B5EF4-FFF2-40B4-BE49-F238E27FC236}">
                <a16:creationId xmlns:a16="http://schemas.microsoft.com/office/drawing/2014/main" id="{00000000-0008-0000-1800-000005000000}"/>
              </a:ext>
            </a:extLst>
          </xdr:cNvPr>
          <xdr:cNvSpPr/>
        </xdr:nvSpPr>
        <xdr:spPr>
          <a:xfrm>
            <a:off x="3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twoCellAnchor>
  <xdr:twoCellAnchor editAs="oneCell">
    <xdr:from>
      <xdr:col>5</xdr:col>
      <xdr:colOff>4215</xdr:colOff>
      <xdr:row>10</xdr:row>
      <xdr:rowOff>111599</xdr:rowOff>
    </xdr:from>
    <xdr:to>
      <xdr:col>5</xdr:col>
      <xdr:colOff>4215</xdr:colOff>
      <xdr:row>10</xdr:row>
      <xdr:rowOff>117949</xdr:rowOff>
    </xdr:to>
    <xdr:grpSp>
      <xdr:nvGrpSpPr>
        <xdr:cNvPr id="6" name="Group 6">
          <a:extLst>
            <a:ext uri="{FF2B5EF4-FFF2-40B4-BE49-F238E27FC236}">
              <a16:creationId xmlns:a16="http://schemas.microsoft.com/office/drawing/2014/main" id="{00000000-0008-0000-1800-000006000000}"/>
            </a:ext>
          </a:extLst>
        </xdr:cNvPr>
        <xdr:cNvGrpSpPr/>
      </xdr:nvGrpSpPr>
      <xdr:grpSpPr>
        <a:xfrm>
          <a:off x="7471815" y="2702399"/>
          <a:ext cx="0" cy="6350"/>
          <a:chOff x="0" y="0"/>
          <a:chExt cx="0" cy="6350"/>
        </a:xfrm>
      </xdr:grpSpPr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00000000-0008-0000-1800-000007000000}"/>
              </a:ext>
            </a:extLst>
          </xdr:cNvPr>
          <xdr:cNvSpPr/>
        </xdr:nvSpPr>
        <xdr:spPr>
          <a:xfrm>
            <a:off x="3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8" name="Shape 8">
            <a:extLst>
              <a:ext uri="{FF2B5EF4-FFF2-40B4-BE49-F238E27FC236}">
                <a16:creationId xmlns:a16="http://schemas.microsoft.com/office/drawing/2014/main" id="{00000000-0008-0000-1800-000008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00000000-0008-0000-1800-000009000000}"/>
              </a:ext>
            </a:extLst>
          </xdr:cNvPr>
          <xdr:cNvSpPr/>
        </xdr:nvSpPr>
        <xdr:spPr>
          <a:xfrm>
            <a:off x="3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twoCellAnchor>
  <xdr:twoCellAnchor editAs="oneCell">
    <xdr:from>
      <xdr:col>7</xdr:col>
      <xdr:colOff>4984</xdr:colOff>
      <xdr:row>10</xdr:row>
      <xdr:rowOff>111599</xdr:rowOff>
    </xdr:from>
    <xdr:to>
      <xdr:col>7</xdr:col>
      <xdr:colOff>4984</xdr:colOff>
      <xdr:row>10</xdr:row>
      <xdr:rowOff>117949</xdr:rowOff>
    </xdr:to>
    <xdr:grpSp>
      <xdr:nvGrpSpPr>
        <xdr:cNvPr id="10" name="Group 10">
          <a:extLst>
            <a:ext uri="{FF2B5EF4-FFF2-40B4-BE49-F238E27FC236}">
              <a16:creationId xmlns:a16="http://schemas.microsoft.com/office/drawing/2014/main" id="{00000000-0008-0000-1800-00000A000000}"/>
            </a:ext>
          </a:extLst>
        </xdr:cNvPr>
        <xdr:cNvGrpSpPr/>
      </xdr:nvGrpSpPr>
      <xdr:grpSpPr>
        <a:xfrm>
          <a:off x="8596534" y="2702399"/>
          <a:ext cx="0" cy="6350"/>
          <a:chOff x="0" y="0"/>
          <a:chExt cx="0" cy="6350"/>
        </a:xfrm>
      </xdr:grpSpPr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00000000-0008-0000-1800-00000B000000}"/>
              </a:ext>
            </a:extLst>
          </xdr:cNvPr>
          <xdr:cNvSpPr/>
        </xdr:nvSpPr>
        <xdr:spPr>
          <a:xfrm>
            <a:off x="5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00000000-0008-0000-1800-00000C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13" name="Shape 13">
            <a:extLst>
              <a:ext uri="{FF2B5EF4-FFF2-40B4-BE49-F238E27FC236}">
                <a16:creationId xmlns:a16="http://schemas.microsoft.com/office/drawing/2014/main" id="{00000000-0008-0000-1800-00000D000000}"/>
              </a:ext>
            </a:extLst>
          </xdr:cNvPr>
          <xdr:cNvSpPr/>
        </xdr:nvSpPr>
        <xdr:spPr>
          <a:xfrm>
            <a:off x="5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twoCellAnchor>
  <xdr:twoCellAnchor editAs="oneCell">
    <xdr:from>
      <xdr:col>8</xdr:col>
      <xdr:colOff>5370</xdr:colOff>
      <xdr:row>10</xdr:row>
      <xdr:rowOff>111599</xdr:rowOff>
    </xdr:from>
    <xdr:to>
      <xdr:col>8</xdr:col>
      <xdr:colOff>5370</xdr:colOff>
      <xdr:row>10</xdr:row>
      <xdr:rowOff>117949</xdr:rowOff>
    </xdr:to>
    <xdr:grpSp>
      <xdr:nvGrpSpPr>
        <xdr:cNvPr id="14" name="Group 14">
          <a:extLst>
            <a:ext uri="{FF2B5EF4-FFF2-40B4-BE49-F238E27FC236}">
              <a16:creationId xmlns:a16="http://schemas.microsoft.com/office/drawing/2014/main" id="{00000000-0008-0000-1800-00000E000000}"/>
            </a:ext>
          </a:extLst>
        </xdr:cNvPr>
        <xdr:cNvGrpSpPr/>
      </xdr:nvGrpSpPr>
      <xdr:grpSpPr>
        <a:xfrm>
          <a:off x="9158895" y="2702399"/>
          <a:ext cx="0" cy="6350"/>
          <a:chOff x="0" y="0"/>
          <a:chExt cx="0" cy="6350"/>
        </a:xfrm>
      </xdr:grpSpPr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00000000-0008-0000-1800-00000F000000}"/>
              </a:ext>
            </a:extLst>
          </xdr:cNvPr>
          <xdr:cNvSpPr/>
        </xdr:nvSpPr>
        <xdr:spPr>
          <a:xfrm>
            <a:off x="3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16" name="Shape 16">
            <a:extLst>
              <a:ext uri="{FF2B5EF4-FFF2-40B4-BE49-F238E27FC236}">
                <a16:creationId xmlns:a16="http://schemas.microsoft.com/office/drawing/2014/main" id="{00000000-0008-0000-1800-000010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17" name="Shape 17">
            <a:extLst>
              <a:ext uri="{FF2B5EF4-FFF2-40B4-BE49-F238E27FC236}">
                <a16:creationId xmlns:a16="http://schemas.microsoft.com/office/drawing/2014/main" id="{00000000-0008-0000-1800-000011000000}"/>
              </a:ext>
            </a:extLst>
          </xdr:cNvPr>
          <xdr:cNvSpPr/>
        </xdr:nvSpPr>
        <xdr:spPr>
          <a:xfrm>
            <a:off x="3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twoCellAnchor>
  <xdr:twoCellAnchor editAs="oneCell">
    <xdr:from>
      <xdr:col>10</xdr:col>
      <xdr:colOff>6140</xdr:colOff>
      <xdr:row>10</xdr:row>
      <xdr:rowOff>111599</xdr:rowOff>
    </xdr:from>
    <xdr:to>
      <xdr:col>10</xdr:col>
      <xdr:colOff>6140</xdr:colOff>
      <xdr:row>10</xdr:row>
      <xdr:rowOff>117949</xdr:rowOff>
    </xdr:to>
    <xdr:grpSp>
      <xdr:nvGrpSpPr>
        <xdr:cNvPr id="18" name="Group 18">
          <a:extLst>
            <a:ext uri="{FF2B5EF4-FFF2-40B4-BE49-F238E27FC236}">
              <a16:creationId xmlns:a16="http://schemas.microsoft.com/office/drawing/2014/main" id="{00000000-0008-0000-1800-000012000000}"/>
            </a:ext>
          </a:extLst>
        </xdr:cNvPr>
        <xdr:cNvGrpSpPr/>
      </xdr:nvGrpSpPr>
      <xdr:grpSpPr>
        <a:xfrm>
          <a:off x="10283615" y="2702399"/>
          <a:ext cx="0" cy="6350"/>
          <a:chOff x="0" y="0"/>
          <a:chExt cx="0" cy="6350"/>
        </a:xfrm>
      </xdr:grpSpPr>
      <xdr:sp macro="" textlink="">
        <xdr:nvSpPr>
          <xdr:cNvPr id="19" name="Shape 19">
            <a:extLst>
              <a:ext uri="{FF2B5EF4-FFF2-40B4-BE49-F238E27FC236}">
                <a16:creationId xmlns:a16="http://schemas.microsoft.com/office/drawing/2014/main" id="{00000000-0008-0000-1800-000013000000}"/>
              </a:ext>
            </a:extLst>
          </xdr:cNvPr>
          <xdr:cNvSpPr/>
        </xdr:nvSpPr>
        <xdr:spPr>
          <a:xfrm>
            <a:off x="3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20" name="Shape 20">
            <a:extLst>
              <a:ext uri="{FF2B5EF4-FFF2-40B4-BE49-F238E27FC236}">
                <a16:creationId xmlns:a16="http://schemas.microsoft.com/office/drawing/2014/main" id="{00000000-0008-0000-1800-000014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21" name="Shape 21">
            <a:extLst>
              <a:ext uri="{FF2B5EF4-FFF2-40B4-BE49-F238E27FC236}">
                <a16:creationId xmlns:a16="http://schemas.microsoft.com/office/drawing/2014/main" id="{00000000-0008-0000-1800-000015000000}"/>
              </a:ext>
            </a:extLst>
          </xdr:cNvPr>
          <xdr:cNvSpPr/>
        </xdr:nvSpPr>
        <xdr:spPr>
          <a:xfrm>
            <a:off x="3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twoCellAnchor>
  <xdr:twoCellAnchor editAs="oneCell">
    <xdr:from>
      <xdr:col>11</xdr:col>
      <xdr:colOff>6525</xdr:colOff>
      <xdr:row>10</xdr:row>
      <xdr:rowOff>111599</xdr:rowOff>
    </xdr:from>
    <xdr:to>
      <xdr:col>11</xdr:col>
      <xdr:colOff>6525</xdr:colOff>
      <xdr:row>10</xdr:row>
      <xdr:rowOff>117949</xdr:rowOff>
    </xdr:to>
    <xdr:grpSp>
      <xdr:nvGrpSpPr>
        <xdr:cNvPr id="22" name="Group 22">
          <a:extLst>
            <a:ext uri="{FF2B5EF4-FFF2-40B4-BE49-F238E27FC236}">
              <a16:creationId xmlns:a16="http://schemas.microsoft.com/office/drawing/2014/main" id="{00000000-0008-0000-1800-000016000000}"/>
            </a:ext>
          </a:extLst>
        </xdr:cNvPr>
        <xdr:cNvGrpSpPr/>
      </xdr:nvGrpSpPr>
      <xdr:grpSpPr>
        <a:xfrm>
          <a:off x="10845975" y="2702399"/>
          <a:ext cx="0" cy="6350"/>
          <a:chOff x="0" y="0"/>
          <a:chExt cx="0" cy="6350"/>
        </a:xfrm>
      </xdr:grpSpPr>
      <xdr:sp macro="" textlink="">
        <xdr:nvSpPr>
          <xdr:cNvPr id="23" name="Shape 23">
            <a:extLst>
              <a:ext uri="{FF2B5EF4-FFF2-40B4-BE49-F238E27FC236}">
                <a16:creationId xmlns:a16="http://schemas.microsoft.com/office/drawing/2014/main" id="{00000000-0008-0000-1800-000017000000}"/>
              </a:ext>
            </a:extLst>
          </xdr:cNvPr>
          <xdr:cNvSpPr/>
        </xdr:nvSpPr>
        <xdr:spPr>
          <a:xfrm>
            <a:off x="3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24" name="Shape 24">
            <a:extLst>
              <a:ext uri="{FF2B5EF4-FFF2-40B4-BE49-F238E27FC236}">
                <a16:creationId xmlns:a16="http://schemas.microsoft.com/office/drawing/2014/main" id="{00000000-0008-0000-1800-000018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25" name="Shape 25">
            <a:extLst>
              <a:ext uri="{FF2B5EF4-FFF2-40B4-BE49-F238E27FC236}">
                <a16:creationId xmlns:a16="http://schemas.microsoft.com/office/drawing/2014/main" id="{00000000-0008-0000-1800-000019000000}"/>
              </a:ext>
            </a:extLst>
          </xdr:cNvPr>
          <xdr:cNvSpPr/>
        </xdr:nvSpPr>
        <xdr:spPr>
          <a:xfrm>
            <a:off x="3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twoCellAnchor>
  <xdr:twoCellAnchor editAs="oneCell">
    <xdr:from>
      <xdr:col>3</xdr:col>
      <xdr:colOff>3543</xdr:colOff>
      <xdr:row>10</xdr:row>
      <xdr:rowOff>257169</xdr:rowOff>
    </xdr:from>
    <xdr:to>
      <xdr:col>3</xdr:col>
      <xdr:colOff>3543</xdr:colOff>
      <xdr:row>11</xdr:row>
      <xdr:rowOff>6344</xdr:rowOff>
    </xdr:to>
    <xdr:grpSp>
      <xdr:nvGrpSpPr>
        <xdr:cNvPr id="26" name="Group 33">
          <a:extLst>
            <a:ext uri="{FF2B5EF4-FFF2-40B4-BE49-F238E27FC236}">
              <a16:creationId xmlns:a16="http://schemas.microsoft.com/office/drawing/2014/main" id="{00000000-0008-0000-1800-00001A000000}"/>
            </a:ext>
          </a:extLst>
        </xdr:cNvPr>
        <xdr:cNvGrpSpPr/>
      </xdr:nvGrpSpPr>
      <xdr:grpSpPr>
        <a:xfrm>
          <a:off x="6347193" y="2847969"/>
          <a:ext cx="0" cy="6350"/>
          <a:chOff x="0" y="0"/>
          <a:chExt cx="0" cy="6350"/>
        </a:xfrm>
      </xdr:grpSpPr>
      <xdr:sp macro="" textlink="">
        <xdr:nvSpPr>
          <xdr:cNvPr id="27" name="Shape 34">
            <a:extLst>
              <a:ext uri="{FF2B5EF4-FFF2-40B4-BE49-F238E27FC236}">
                <a16:creationId xmlns:a16="http://schemas.microsoft.com/office/drawing/2014/main" id="{00000000-0008-0000-1800-00001B000000}"/>
              </a:ext>
            </a:extLst>
          </xdr:cNvPr>
          <xdr:cNvSpPr/>
        </xdr:nvSpPr>
        <xdr:spPr>
          <a:xfrm>
            <a:off x="0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28" name="Shape 35">
            <a:extLst>
              <a:ext uri="{FF2B5EF4-FFF2-40B4-BE49-F238E27FC236}">
                <a16:creationId xmlns:a16="http://schemas.microsoft.com/office/drawing/2014/main" id="{00000000-0008-0000-1800-00001C000000}"/>
              </a:ext>
            </a:extLst>
          </xdr:cNvPr>
          <xdr:cNvSpPr/>
        </xdr:nvSpPr>
        <xdr:spPr>
          <a:xfrm>
            <a:off x="1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29" name="Shape 36">
            <a:extLst>
              <a:ext uri="{FF2B5EF4-FFF2-40B4-BE49-F238E27FC236}">
                <a16:creationId xmlns:a16="http://schemas.microsoft.com/office/drawing/2014/main" id="{00000000-0008-0000-1800-00001D000000}"/>
              </a:ext>
            </a:extLst>
          </xdr:cNvPr>
          <xdr:cNvSpPr/>
        </xdr:nvSpPr>
        <xdr:spPr>
          <a:xfrm>
            <a:off x="1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twoCellAnchor>
  <xdr:oneCellAnchor>
    <xdr:from>
      <xdr:col>3</xdr:col>
      <xdr:colOff>465702</xdr:colOff>
      <xdr:row>10</xdr:row>
      <xdr:rowOff>252944</xdr:rowOff>
    </xdr:from>
    <xdr:ext cx="0" cy="6350"/>
    <xdr:grpSp>
      <xdr:nvGrpSpPr>
        <xdr:cNvPr id="30" name="Group 25">
          <a:extLst>
            <a:ext uri="{FF2B5EF4-FFF2-40B4-BE49-F238E27FC236}">
              <a16:creationId xmlns:a16="http://schemas.microsoft.com/office/drawing/2014/main" id="{00000000-0008-0000-1800-00001E000000}"/>
            </a:ext>
          </a:extLst>
        </xdr:cNvPr>
        <xdr:cNvGrpSpPr/>
      </xdr:nvGrpSpPr>
      <xdr:grpSpPr>
        <a:xfrm>
          <a:off x="6809352" y="2843744"/>
          <a:ext cx="0" cy="6350"/>
          <a:chOff x="0" y="0"/>
          <a:chExt cx="0" cy="6350"/>
        </a:xfrm>
      </xdr:grpSpPr>
      <xdr:sp macro="" textlink="">
        <xdr:nvSpPr>
          <xdr:cNvPr id="31" name="Shape 26">
            <a:extLst>
              <a:ext uri="{FF2B5EF4-FFF2-40B4-BE49-F238E27FC236}">
                <a16:creationId xmlns:a16="http://schemas.microsoft.com/office/drawing/2014/main" id="{00000000-0008-0000-1800-00001F000000}"/>
              </a:ext>
            </a:extLst>
          </xdr:cNvPr>
          <xdr:cNvSpPr/>
        </xdr:nvSpPr>
        <xdr:spPr>
          <a:xfrm>
            <a:off x="6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32" name="Shape 27">
            <a:extLst>
              <a:ext uri="{FF2B5EF4-FFF2-40B4-BE49-F238E27FC236}">
                <a16:creationId xmlns:a16="http://schemas.microsoft.com/office/drawing/2014/main" id="{00000000-0008-0000-1800-000020000000}"/>
              </a:ext>
            </a:extLst>
          </xdr:cNvPr>
          <xdr:cNvSpPr/>
        </xdr:nvSpPr>
        <xdr:spPr>
          <a:xfrm>
            <a:off x="0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33" name="Shape 28">
            <a:extLst>
              <a:ext uri="{FF2B5EF4-FFF2-40B4-BE49-F238E27FC236}">
                <a16:creationId xmlns:a16="http://schemas.microsoft.com/office/drawing/2014/main" id="{00000000-0008-0000-1800-000021000000}"/>
              </a:ext>
            </a:extLst>
          </xdr:cNvPr>
          <xdr:cNvSpPr/>
        </xdr:nvSpPr>
        <xdr:spPr>
          <a:xfrm>
            <a:off x="6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5</xdr:col>
      <xdr:colOff>464875</xdr:colOff>
      <xdr:row>10</xdr:row>
      <xdr:rowOff>252944</xdr:rowOff>
    </xdr:from>
    <xdr:ext cx="635" cy="6350"/>
    <xdr:grpSp>
      <xdr:nvGrpSpPr>
        <xdr:cNvPr id="34" name="Group 32">
          <a:extLst>
            <a:ext uri="{FF2B5EF4-FFF2-40B4-BE49-F238E27FC236}">
              <a16:creationId xmlns:a16="http://schemas.microsoft.com/office/drawing/2014/main" id="{00000000-0008-0000-1800-000022000000}"/>
            </a:ext>
          </a:extLst>
        </xdr:cNvPr>
        <xdr:cNvGrpSpPr/>
      </xdr:nvGrpSpPr>
      <xdr:grpSpPr>
        <a:xfrm>
          <a:off x="7932475" y="2843744"/>
          <a:ext cx="635" cy="6350"/>
          <a:chOff x="0" y="0"/>
          <a:chExt cx="635" cy="6350"/>
        </a:xfrm>
      </xdr:grpSpPr>
      <xdr:sp macro="" textlink="">
        <xdr:nvSpPr>
          <xdr:cNvPr id="35" name="Shape 33">
            <a:extLst>
              <a:ext uri="{FF2B5EF4-FFF2-40B4-BE49-F238E27FC236}">
                <a16:creationId xmlns:a16="http://schemas.microsoft.com/office/drawing/2014/main" id="{00000000-0008-0000-1800-000023000000}"/>
              </a:ext>
            </a:extLst>
          </xdr:cNvPr>
          <xdr:cNvSpPr/>
        </xdr:nvSpPr>
        <xdr:spPr>
          <a:xfrm>
            <a:off x="6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36" name="Shape 34">
            <a:extLst>
              <a:ext uri="{FF2B5EF4-FFF2-40B4-BE49-F238E27FC236}">
                <a16:creationId xmlns:a16="http://schemas.microsoft.com/office/drawing/2014/main" id="{00000000-0008-0000-1800-000024000000}"/>
              </a:ext>
            </a:extLst>
          </xdr:cNvPr>
          <xdr:cNvSpPr/>
        </xdr:nvSpPr>
        <xdr:spPr>
          <a:xfrm>
            <a:off x="0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37" name="Shape 35">
            <a:extLst>
              <a:ext uri="{FF2B5EF4-FFF2-40B4-BE49-F238E27FC236}">
                <a16:creationId xmlns:a16="http://schemas.microsoft.com/office/drawing/2014/main" id="{00000000-0008-0000-1800-000025000000}"/>
              </a:ext>
            </a:extLst>
          </xdr:cNvPr>
          <xdr:cNvSpPr/>
        </xdr:nvSpPr>
        <xdr:spPr>
          <a:xfrm>
            <a:off x="6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4</xdr:col>
      <xdr:colOff>465289</xdr:colOff>
      <xdr:row>10</xdr:row>
      <xdr:rowOff>252949</xdr:rowOff>
    </xdr:from>
    <xdr:ext cx="0" cy="6350"/>
    <xdr:grpSp>
      <xdr:nvGrpSpPr>
        <xdr:cNvPr id="38" name="Group 52">
          <a:extLst>
            <a:ext uri="{FF2B5EF4-FFF2-40B4-BE49-F238E27FC236}">
              <a16:creationId xmlns:a16="http://schemas.microsoft.com/office/drawing/2014/main" id="{00000000-0008-0000-1800-000026000000}"/>
            </a:ext>
          </a:extLst>
        </xdr:cNvPr>
        <xdr:cNvGrpSpPr/>
      </xdr:nvGrpSpPr>
      <xdr:grpSpPr>
        <a:xfrm>
          <a:off x="7370914" y="2843749"/>
          <a:ext cx="0" cy="6350"/>
          <a:chOff x="0" y="0"/>
          <a:chExt cx="0" cy="6350"/>
        </a:xfrm>
      </xdr:grpSpPr>
      <xdr:sp macro="" textlink="">
        <xdr:nvSpPr>
          <xdr:cNvPr id="39" name="Shape 53">
            <a:extLst>
              <a:ext uri="{FF2B5EF4-FFF2-40B4-BE49-F238E27FC236}">
                <a16:creationId xmlns:a16="http://schemas.microsoft.com/office/drawing/2014/main" id="{00000000-0008-0000-1800-000027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40" name="Shape 54">
            <a:extLst>
              <a:ext uri="{FF2B5EF4-FFF2-40B4-BE49-F238E27FC236}">
                <a16:creationId xmlns:a16="http://schemas.microsoft.com/office/drawing/2014/main" id="{00000000-0008-0000-1800-000028000000}"/>
              </a:ext>
            </a:extLst>
          </xdr:cNvPr>
          <xdr:cNvSpPr/>
        </xdr:nvSpPr>
        <xdr:spPr>
          <a:xfrm>
            <a:off x="5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4</xdr:col>
      <xdr:colOff>465673</xdr:colOff>
      <xdr:row>10</xdr:row>
      <xdr:rowOff>239132</xdr:rowOff>
    </xdr:from>
    <xdr:ext cx="0" cy="6350"/>
    <xdr:grpSp>
      <xdr:nvGrpSpPr>
        <xdr:cNvPr id="41" name="Group 29">
          <a:extLst>
            <a:ext uri="{FF2B5EF4-FFF2-40B4-BE49-F238E27FC236}">
              <a16:creationId xmlns:a16="http://schemas.microsoft.com/office/drawing/2014/main" id="{00000000-0008-0000-1800-000029000000}"/>
            </a:ext>
          </a:extLst>
        </xdr:cNvPr>
        <xdr:cNvGrpSpPr/>
      </xdr:nvGrpSpPr>
      <xdr:grpSpPr>
        <a:xfrm>
          <a:off x="7371298" y="2829932"/>
          <a:ext cx="0" cy="6350"/>
          <a:chOff x="0" y="0"/>
          <a:chExt cx="0" cy="6350"/>
        </a:xfrm>
      </xdr:grpSpPr>
      <xdr:sp macro="" textlink="">
        <xdr:nvSpPr>
          <xdr:cNvPr id="42" name="Shape 30">
            <a:extLst>
              <a:ext uri="{FF2B5EF4-FFF2-40B4-BE49-F238E27FC236}">
                <a16:creationId xmlns:a16="http://schemas.microsoft.com/office/drawing/2014/main" id="{00000000-0008-0000-1800-00002A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43" name="Shape 31">
            <a:extLst>
              <a:ext uri="{FF2B5EF4-FFF2-40B4-BE49-F238E27FC236}">
                <a16:creationId xmlns:a16="http://schemas.microsoft.com/office/drawing/2014/main" id="{00000000-0008-0000-1800-00002B000000}"/>
              </a:ext>
            </a:extLst>
          </xdr:cNvPr>
          <xdr:cNvSpPr/>
        </xdr:nvSpPr>
        <xdr:spPr>
          <a:xfrm>
            <a:off x="5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3</xdr:col>
      <xdr:colOff>464049</xdr:colOff>
      <xdr:row>10</xdr:row>
      <xdr:rowOff>0</xdr:rowOff>
    </xdr:from>
    <xdr:ext cx="0" cy="6350"/>
    <xdr:grpSp>
      <xdr:nvGrpSpPr>
        <xdr:cNvPr id="44" name="Group 39">
          <a:extLst>
            <a:ext uri="{FF2B5EF4-FFF2-40B4-BE49-F238E27FC236}">
              <a16:creationId xmlns:a16="http://schemas.microsoft.com/office/drawing/2014/main" id="{00000000-0008-0000-1800-00002C000000}"/>
            </a:ext>
          </a:extLst>
        </xdr:cNvPr>
        <xdr:cNvGrpSpPr/>
      </xdr:nvGrpSpPr>
      <xdr:grpSpPr>
        <a:xfrm>
          <a:off x="6807699" y="2590800"/>
          <a:ext cx="0" cy="6350"/>
          <a:chOff x="0" y="0"/>
          <a:chExt cx="0" cy="6350"/>
        </a:xfrm>
      </xdr:grpSpPr>
      <xdr:sp macro="" textlink="">
        <xdr:nvSpPr>
          <xdr:cNvPr id="45" name="Shape 40">
            <a:extLst>
              <a:ext uri="{FF2B5EF4-FFF2-40B4-BE49-F238E27FC236}">
                <a16:creationId xmlns:a16="http://schemas.microsoft.com/office/drawing/2014/main" id="{00000000-0008-0000-1800-00002D000000}"/>
              </a:ext>
            </a:extLst>
          </xdr:cNvPr>
          <xdr:cNvSpPr/>
        </xdr:nvSpPr>
        <xdr:spPr>
          <a:xfrm>
            <a:off x="0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46" name="Shape 41">
            <a:extLst>
              <a:ext uri="{FF2B5EF4-FFF2-40B4-BE49-F238E27FC236}">
                <a16:creationId xmlns:a16="http://schemas.microsoft.com/office/drawing/2014/main" id="{00000000-0008-0000-1800-00002E000000}"/>
              </a:ext>
            </a:extLst>
          </xdr:cNvPr>
          <xdr:cNvSpPr/>
        </xdr:nvSpPr>
        <xdr:spPr>
          <a:xfrm>
            <a:off x="6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47" name="Shape 42">
            <a:extLst>
              <a:ext uri="{FF2B5EF4-FFF2-40B4-BE49-F238E27FC236}">
                <a16:creationId xmlns:a16="http://schemas.microsoft.com/office/drawing/2014/main" id="{00000000-0008-0000-1800-00002F000000}"/>
              </a:ext>
            </a:extLst>
          </xdr:cNvPr>
          <xdr:cNvSpPr/>
        </xdr:nvSpPr>
        <xdr:spPr>
          <a:xfrm>
            <a:off x="6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4</xdr:col>
      <xdr:colOff>463636</xdr:colOff>
      <xdr:row>10</xdr:row>
      <xdr:rowOff>0</xdr:rowOff>
    </xdr:from>
    <xdr:ext cx="0" cy="6350"/>
    <xdr:grpSp>
      <xdr:nvGrpSpPr>
        <xdr:cNvPr id="48" name="Group 46">
          <a:extLst>
            <a:ext uri="{FF2B5EF4-FFF2-40B4-BE49-F238E27FC236}">
              <a16:creationId xmlns:a16="http://schemas.microsoft.com/office/drawing/2014/main" id="{00000000-0008-0000-1800-000030000000}"/>
            </a:ext>
          </a:extLst>
        </xdr:cNvPr>
        <xdr:cNvGrpSpPr/>
      </xdr:nvGrpSpPr>
      <xdr:grpSpPr>
        <a:xfrm>
          <a:off x="7369261" y="2590800"/>
          <a:ext cx="0" cy="6350"/>
          <a:chOff x="0" y="0"/>
          <a:chExt cx="0" cy="6350"/>
        </a:xfrm>
      </xdr:grpSpPr>
      <xdr:sp macro="" textlink="">
        <xdr:nvSpPr>
          <xdr:cNvPr id="49" name="Shape 47">
            <a:extLst>
              <a:ext uri="{FF2B5EF4-FFF2-40B4-BE49-F238E27FC236}">
                <a16:creationId xmlns:a16="http://schemas.microsoft.com/office/drawing/2014/main" id="{00000000-0008-0000-1800-000031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50" name="Shape 48">
            <a:extLst>
              <a:ext uri="{FF2B5EF4-FFF2-40B4-BE49-F238E27FC236}">
                <a16:creationId xmlns:a16="http://schemas.microsoft.com/office/drawing/2014/main" id="{00000000-0008-0000-1800-000032000000}"/>
              </a:ext>
            </a:extLst>
          </xdr:cNvPr>
          <xdr:cNvSpPr/>
        </xdr:nvSpPr>
        <xdr:spPr>
          <a:xfrm>
            <a:off x="5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7</xdr:col>
      <xdr:colOff>3830</xdr:colOff>
      <xdr:row>10</xdr:row>
      <xdr:rowOff>111599</xdr:rowOff>
    </xdr:from>
    <xdr:ext cx="0" cy="6350"/>
    <xdr:grpSp>
      <xdr:nvGrpSpPr>
        <xdr:cNvPr id="51" name="Group 2">
          <a:extLst>
            <a:ext uri="{FF2B5EF4-FFF2-40B4-BE49-F238E27FC236}">
              <a16:creationId xmlns:a16="http://schemas.microsoft.com/office/drawing/2014/main" id="{00000000-0008-0000-1800-000033000000}"/>
            </a:ext>
          </a:extLst>
        </xdr:cNvPr>
        <xdr:cNvGrpSpPr/>
      </xdr:nvGrpSpPr>
      <xdr:grpSpPr>
        <a:xfrm>
          <a:off x="8595380" y="2702399"/>
          <a:ext cx="0" cy="6350"/>
          <a:chOff x="0" y="0"/>
          <a:chExt cx="0" cy="6350"/>
        </a:xfrm>
      </xdr:grpSpPr>
      <xdr:sp macro="" textlink="">
        <xdr:nvSpPr>
          <xdr:cNvPr id="52" name="Shape 3">
            <a:extLst>
              <a:ext uri="{FF2B5EF4-FFF2-40B4-BE49-F238E27FC236}">
                <a16:creationId xmlns:a16="http://schemas.microsoft.com/office/drawing/2014/main" id="{00000000-0008-0000-1800-000034000000}"/>
              </a:ext>
            </a:extLst>
          </xdr:cNvPr>
          <xdr:cNvSpPr/>
        </xdr:nvSpPr>
        <xdr:spPr>
          <a:xfrm>
            <a:off x="3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53" name="Shape 4">
            <a:extLst>
              <a:ext uri="{FF2B5EF4-FFF2-40B4-BE49-F238E27FC236}">
                <a16:creationId xmlns:a16="http://schemas.microsoft.com/office/drawing/2014/main" id="{00000000-0008-0000-1800-000035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54" name="Shape 5">
            <a:extLst>
              <a:ext uri="{FF2B5EF4-FFF2-40B4-BE49-F238E27FC236}">
                <a16:creationId xmlns:a16="http://schemas.microsoft.com/office/drawing/2014/main" id="{00000000-0008-0000-1800-000036000000}"/>
              </a:ext>
            </a:extLst>
          </xdr:cNvPr>
          <xdr:cNvSpPr/>
        </xdr:nvSpPr>
        <xdr:spPr>
          <a:xfrm>
            <a:off x="3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8</xdr:col>
      <xdr:colOff>4215</xdr:colOff>
      <xdr:row>10</xdr:row>
      <xdr:rowOff>111599</xdr:rowOff>
    </xdr:from>
    <xdr:ext cx="0" cy="6350"/>
    <xdr:grpSp>
      <xdr:nvGrpSpPr>
        <xdr:cNvPr id="55" name="Group 6">
          <a:extLst>
            <a:ext uri="{FF2B5EF4-FFF2-40B4-BE49-F238E27FC236}">
              <a16:creationId xmlns:a16="http://schemas.microsoft.com/office/drawing/2014/main" id="{00000000-0008-0000-1800-000037000000}"/>
            </a:ext>
          </a:extLst>
        </xdr:cNvPr>
        <xdr:cNvGrpSpPr/>
      </xdr:nvGrpSpPr>
      <xdr:grpSpPr>
        <a:xfrm>
          <a:off x="9157740" y="2702399"/>
          <a:ext cx="0" cy="6350"/>
          <a:chOff x="0" y="0"/>
          <a:chExt cx="0" cy="6350"/>
        </a:xfrm>
      </xdr:grpSpPr>
      <xdr:sp macro="" textlink="">
        <xdr:nvSpPr>
          <xdr:cNvPr id="56" name="Shape 7">
            <a:extLst>
              <a:ext uri="{FF2B5EF4-FFF2-40B4-BE49-F238E27FC236}">
                <a16:creationId xmlns:a16="http://schemas.microsoft.com/office/drawing/2014/main" id="{00000000-0008-0000-1800-000038000000}"/>
              </a:ext>
            </a:extLst>
          </xdr:cNvPr>
          <xdr:cNvSpPr/>
        </xdr:nvSpPr>
        <xdr:spPr>
          <a:xfrm>
            <a:off x="3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57" name="Shape 8">
            <a:extLst>
              <a:ext uri="{FF2B5EF4-FFF2-40B4-BE49-F238E27FC236}">
                <a16:creationId xmlns:a16="http://schemas.microsoft.com/office/drawing/2014/main" id="{00000000-0008-0000-1800-000039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58" name="Shape 9">
            <a:extLst>
              <a:ext uri="{FF2B5EF4-FFF2-40B4-BE49-F238E27FC236}">
                <a16:creationId xmlns:a16="http://schemas.microsoft.com/office/drawing/2014/main" id="{00000000-0008-0000-1800-00003A000000}"/>
              </a:ext>
            </a:extLst>
          </xdr:cNvPr>
          <xdr:cNvSpPr/>
        </xdr:nvSpPr>
        <xdr:spPr>
          <a:xfrm>
            <a:off x="3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6</xdr:col>
      <xdr:colOff>3543</xdr:colOff>
      <xdr:row>10</xdr:row>
      <xdr:rowOff>257169</xdr:rowOff>
    </xdr:from>
    <xdr:ext cx="0" cy="6350"/>
    <xdr:grpSp>
      <xdr:nvGrpSpPr>
        <xdr:cNvPr id="59" name="Group 33">
          <a:extLst>
            <a:ext uri="{FF2B5EF4-FFF2-40B4-BE49-F238E27FC236}">
              <a16:creationId xmlns:a16="http://schemas.microsoft.com/office/drawing/2014/main" id="{00000000-0008-0000-1800-00003B000000}"/>
            </a:ext>
          </a:extLst>
        </xdr:cNvPr>
        <xdr:cNvGrpSpPr/>
      </xdr:nvGrpSpPr>
      <xdr:grpSpPr>
        <a:xfrm>
          <a:off x="8033118" y="2847969"/>
          <a:ext cx="0" cy="6350"/>
          <a:chOff x="0" y="0"/>
          <a:chExt cx="0" cy="6350"/>
        </a:xfrm>
      </xdr:grpSpPr>
      <xdr:sp macro="" textlink="">
        <xdr:nvSpPr>
          <xdr:cNvPr id="60" name="Shape 34">
            <a:extLst>
              <a:ext uri="{FF2B5EF4-FFF2-40B4-BE49-F238E27FC236}">
                <a16:creationId xmlns:a16="http://schemas.microsoft.com/office/drawing/2014/main" id="{00000000-0008-0000-1800-00003C000000}"/>
              </a:ext>
            </a:extLst>
          </xdr:cNvPr>
          <xdr:cNvSpPr/>
        </xdr:nvSpPr>
        <xdr:spPr>
          <a:xfrm>
            <a:off x="0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61" name="Shape 35">
            <a:extLst>
              <a:ext uri="{FF2B5EF4-FFF2-40B4-BE49-F238E27FC236}">
                <a16:creationId xmlns:a16="http://schemas.microsoft.com/office/drawing/2014/main" id="{00000000-0008-0000-1800-00003D000000}"/>
              </a:ext>
            </a:extLst>
          </xdr:cNvPr>
          <xdr:cNvSpPr/>
        </xdr:nvSpPr>
        <xdr:spPr>
          <a:xfrm>
            <a:off x="1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62" name="Shape 36">
            <a:extLst>
              <a:ext uri="{FF2B5EF4-FFF2-40B4-BE49-F238E27FC236}">
                <a16:creationId xmlns:a16="http://schemas.microsoft.com/office/drawing/2014/main" id="{00000000-0008-0000-1800-00003E000000}"/>
              </a:ext>
            </a:extLst>
          </xdr:cNvPr>
          <xdr:cNvSpPr/>
        </xdr:nvSpPr>
        <xdr:spPr>
          <a:xfrm>
            <a:off x="1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6</xdr:col>
      <xdr:colOff>465702</xdr:colOff>
      <xdr:row>10</xdr:row>
      <xdr:rowOff>252944</xdr:rowOff>
    </xdr:from>
    <xdr:ext cx="0" cy="6350"/>
    <xdr:grpSp>
      <xdr:nvGrpSpPr>
        <xdr:cNvPr id="63" name="Group 25">
          <a:extLst>
            <a:ext uri="{FF2B5EF4-FFF2-40B4-BE49-F238E27FC236}">
              <a16:creationId xmlns:a16="http://schemas.microsoft.com/office/drawing/2014/main" id="{00000000-0008-0000-1800-00003F000000}"/>
            </a:ext>
          </a:extLst>
        </xdr:cNvPr>
        <xdr:cNvGrpSpPr/>
      </xdr:nvGrpSpPr>
      <xdr:grpSpPr>
        <a:xfrm>
          <a:off x="8495277" y="2843744"/>
          <a:ext cx="0" cy="6350"/>
          <a:chOff x="0" y="0"/>
          <a:chExt cx="0" cy="6350"/>
        </a:xfrm>
      </xdr:grpSpPr>
      <xdr:sp macro="" textlink="">
        <xdr:nvSpPr>
          <xdr:cNvPr id="64" name="Shape 26">
            <a:extLst>
              <a:ext uri="{FF2B5EF4-FFF2-40B4-BE49-F238E27FC236}">
                <a16:creationId xmlns:a16="http://schemas.microsoft.com/office/drawing/2014/main" id="{00000000-0008-0000-1800-000040000000}"/>
              </a:ext>
            </a:extLst>
          </xdr:cNvPr>
          <xdr:cNvSpPr/>
        </xdr:nvSpPr>
        <xdr:spPr>
          <a:xfrm>
            <a:off x="6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65" name="Shape 27">
            <a:extLst>
              <a:ext uri="{FF2B5EF4-FFF2-40B4-BE49-F238E27FC236}">
                <a16:creationId xmlns:a16="http://schemas.microsoft.com/office/drawing/2014/main" id="{00000000-0008-0000-1800-000041000000}"/>
              </a:ext>
            </a:extLst>
          </xdr:cNvPr>
          <xdr:cNvSpPr/>
        </xdr:nvSpPr>
        <xdr:spPr>
          <a:xfrm>
            <a:off x="0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66" name="Shape 28">
            <a:extLst>
              <a:ext uri="{FF2B5EF4-FFF2-40B4-BE49-F238E27FC236}">
                <a16:creationId xmlns:a16="http://schemas.microsoft.com/office/drawing/2014/main" id="{00000000-0008-0000-1800-000042000000}"/>
              </a:ext>
            </a:extLst>
          </xdr:cNvPr>
          <xdr:cNvSpPr/>
        </xdr:nvSpPr>
        <xdr:spPr>
          <a:xfrm>
            <a:off x="6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8</xdr:col>
      <xdr:colOff>464875</xdr:colOff>
      <xdr:row>10</xdr:row>
      <xdr:rowOff>252944</xdr:rowOff>
    </xdr:from>
    <xdr:ext cx="635" cy="6350"/>
    <xdr:grpSp>
      <xdr:nvGrpSpPr>
        <xdr:cNvPr id="67" name="Group 32">
          <a:extLst>
            <a:ext uri="{FF2B5EF4-FFF2-40B4-BE49-F238E27FC236}">
              <a16:creationId xmlns:a16="http://schemas.microsoft.com/office/drawing/2014/main" id="{00000000-0008-0000-1800-000043000000}"/>
            </a:ext>
          </a:extLst>
        </xdr:cNvPr>
        <xdr:cNvGrpSpPr/>
      </xdr:nvGrpSpPr>
      <xdr:grpSpPr>
        <a:xfrm>
          <a:off x="9618400" y="2843744"/>
          <a:ext cx="635" cy="6350"/>
          <a:chOff x="0" y="0"/>
          <a:chExt cx="635" cy="6350"/>
        </a:xfrm>
      </xdr:grpSpPr>
      <xdr:sp macro="" textlink="">
        <xdr:nvSpPr>
          <xdr:cNvPr id="68" name="Shape 33">
            <a:extLst>
              <a:ext uri="{FF2B5EF4-FFF2-40B4-BE49-F238E27FC236}">
                <a16:creationId xmlns:a16="http://schemas.microsoft.com/office/drawing/2014/main" id="{00000000-0008-0000-1800-000044000000}"/>
              </a:ext>
            </a:extLst>
          </xdr:cNvPr>
          <xdr:cNvSpPr/>
        </xdr:nvSpPr>
        <xdr:spPr>
          <a:xfrm>
            <a:off x="6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69" name="Shape 34">
            <a:extLst>
              <a:ext uri="{FF2B5EF4-FFF2-40B4-BE49-F238E27FC236}">
                <a16:creationId xmlns:a16="http://schemas.microsoft.com/office/drawing/2014/main" id="{00000000-0008-0000-1800-000045000000}"/>
              </a:ext>
            </a:extLst>
          </xdr:cNvPr>
          <xdr:cNvSpPr/>
        </xdr:nvSpPr>
        <xdr:spPr>
          <a:xfrm>
            <a:off x="0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70" name="Shape 35">
            <a:extLst>
              <a:ext uri="{FF2B5EF4-FFF2-40B4-BE49-F238E27FC236}">
                <a16:creationId xmlns:a16="http://schemas.microsoft.com/office/drawing/2014/main" id="{00000000-0008-0000-1800-000046000000}"/>
              </a:ext>
            </a:extLst>
          </xdr:cNvPr>
          <xdr:cNvSpPr/>
        </xdr:nvSpPr>
        <xdr:spPr>
          <a:xfrm>
            <a:off x="6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7</xdr:col>
      <xdr:colOff>465289</xdr:colOff>
      <xdr:row>10</xdr:row>
      <xdr:rowOff>252949</xdr:rowOff>
    </xdr:from>
    <xdr:ext cx="0" cy="6350"/>
    <xdr:grpSp>
      <xdr:nvGrpSpPr>
        <xdr:cNvPr id="71" name="Group 52">
          <a:extLst>
            <a:ext uri="{FF2B5EF4-FFF2-40B4-BE49-F238E27FC236}">
              <a16:creationId xmlns:a16="http://schemas.microsoft.com/office/drawing/2014/main" id="{00000000-0008-0000-1800-000047000000}"/>
            </a:ext>
          </a:extLst>
        </xdr:cNvPr>
        <xdr:cNvGrpSpPr/>
      </xdr:nvGrpSpPr>
      <xdr:grpSpPr>
        <a:xfrm>
          <a:off x="9056839" y="2843749"/>
          <a:ext cx="0" cy="6350"/>
          <a:chOff x="0" y="0"/>
          <a:chExt cx="0" cy="6350"/>
        </a:xfrm>
      </xdr:grpSpPr>
      <xdr:sp macro="" textlink="">
        <xdr:nvSpPr>
          <xdr:cNvPr id="72" name="Shape 53">
            <a:extLst>
              <a:ext uri="{FF2B5EF4-FFF2-40B4-BE49-F238E27FC236}">
                <a16:creationId xmlns:a16="http://schemas.microsoft.com/office/drawing/2014/main" id="{00000000-0008-0000-1800-000048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73" name="Shape 54">
            <a:extLst>
              <a:ext uri="{FF2B5EF4-FFF2-40B4-BE49-F238E27FC236}">
                <a16:creationId xmlns:a16="http://schemas.microsoft.com/office/drawing/2014/main" id="{00000000-0008-0000-1800-000049000000}"/>
              </a:ext>
            </a:extLst>
          </xdr:cNvPr>
          <xdr:cNvSpPr/>
        </xdr:nvSpPr>
        <xdr:spPr>
          <a:xfrm>
            <a:off x="5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7</xdr:col>
      <xdr:colOff>465673</xdr:colOff>
      <xdr:row>10</xdr:row>
      <xdr:rowOff>239132</xdr:rowOff>
    </xdr:from>
    <xdr:ext cx="0" cy="6350"/>
    <xdr:grpSp>
      <xdr:nvGrpSpPr>
        <xdr:cNvPr id="74" name="Group 29">
          <a:extLst>
            <a:ext uri="{FF2B5EF4-FFF2-40B4-BE49-F238E27FC236}">
              <a16:creationId xmlns:a16="http://schemas.microsoft.com/office/drawing/2014/main" id="{00000000-0008-0000-1800-00004A000000}"/>
            </a:ext>
          </a:extLst>
        </xdr:cNvPr>
        <xdr:cNvGrpSpPr/>
      </xdr:nvGrpSpPr>
      <xdr:grpSpPr>
        <a:xfrm>
          <a:off x="9057223" y="2829932"/>
          <a:ext cx="0" cy="6350"/>
          <a:chOff x="0" y="0"/>
          <a:chExt cx="0" cy="6350"/>
        </a:xfrm>
      </xdr:grpSpPr>
      <xdr:sp macro="" textlink="">
        <xdr:nvSpPr>
          <xdr:cNvPr id="75" name="Shape 30">
            <a:extLst>
              <a:ext uri="{FF2B5EF4-FFF2-40B4-BE49-F238E27FC236}">
                <a16:creationId xmlns:a16="http://schemas.microsoft.com/office/drawing/2014/main" id="{00000000-0008-0000-1800-00004B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76" name="Shape 31">
            <a:extLst>
              <a:ext uri="{FF2B5EF4-FFF2-40B4-BE49-F238E27FC236}">
                <a16:creationId xmlns:a16="http://schemas.microsoft.com/office/drawing/2014/main" id="{00000000-0008-0000-1800-00004C000000}"/>
              </a:ext>
            </a:extLst>
          </xdr:cNvPr>
          <xdr:cNvSpPr/>
        </xdr:nvSpPr>
        <xdr:spPr>
          <a:xfrm>
            <a:off x="5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6</xdr:col>
      <xdr:colOff>464049</xdr:colOff>
      <xdr:row>10</xdr:row>
      <xdr:rowOff>0</xdr:rowOff>
    </xdr:from>
    <xdr:ext cx="0" cy="6350"/>
    <xdr:grpSp>
      <xdr:nvGrpSpPr>
        <xdr:cNvPr id="77" name="Group 39">
          <a:extLst>
            <a:ext uri="{FF2B5EF4-FFF2-40B4-BE49-F238E27FC236}">
              <a16:creationId xmlns:a16="http://schemas.microsoft.com/office/drawing/2014/main" id="{00000000-0008-0000-1800-00004D000000}"/>
            </a:ext>
          </a:extLst>
        </xdr:cNvPr>
        <xdr:cNvGrpSpPr/>
      </xdr:nvGrpSpPr>
      <xdr:grpSpPr>
        <a:xfrm>
          <a:off x="8493624" y="2590800"/>
          <a:ext cx="0" cy="6350"/>
          <a:chOff x="0" y="0"/>
          <a:chExt cx="0" cy="6350"/>
        </a:xfrm>
      </xdr:grpSpPr>
      <xdr:sp macro="" textlink="">
        <xdr:nvSpPr>
          <xdr:cNvPr id="78" name="Shape 40">
            <a:extLst>
              <a:ext uri="{FF2B5EF4-FFF2-40B4-BE49-F238E27FC236}">
                <a16:creationId xmlns:a16="http://schemas.microsoft.com/office/drawing/2014/main" id="{00000000-0008-0000-1800-00004E000000}"/>
              </a:ext>
            </a:extLst>
          </xdr:cNvPr>
          <xdr:cNvSpPr/>
        </xdr:nvSpPr>
        <xdr:spPr>
          <a:xfrm>
            <a:off x="0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79" name="Shape 41">
            <a:extLst>
              <a:ext uri="{FF2B5EF4-FFF2-40B4-BE49-F238E27FC236}">
                <a16:creationId xmlns:a16="http://schemas.microsoft.com/office/drawing/2014/main" id="{00000000-0008-0000-1800-00004F000000}"/>
              </a:ext>
            </a:extLst>
          </xdr:cNvPr>
          <xdr:cNvSpPr/>
        </xdr:nvSpPr>
        <xdr:spPr>
          <a:xfrm>
            <a:off x="6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80" name="Shape 42">
            <a:extLst>
              <a:ext uri="{FF2B5EF4-FFF2-40B4-BE49-F238E27FC236}">
                <a16:creationId xmlns:a16="http://schemas.microsoft.com/office/drawing/2014/main" id="{00000000-0008-0000-1800-000050000000}"/>
              </a:ext>
            </a:extLst>
          </xdr:cNvPr>
          <xdr:cNvSpPr/>
        </xdr:nvSpPr>
        <xdr:spPr>
          <a:xfrm>
            <a:off x="6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7</xdr:col>
      <xdr:colOff>463636</xdr:colOff>
      <xdr:row>10</xdr:row>
      <xdr:rowOff>0</xdr:rowOff>
    </xdr:from>
    <xdr:ext cx="0" cy="6350"/>
    <xdr:grpSp>
      <xdr:nvGrpSpPr>
        <xdr:cNvPr id="81" name="Group 46">
          <a:extLst>
            <a:ext uri="{FF2B5EF4-FFF2-40B4-BE49-F238E27FC236}">
              <a16:creationId xmlns:a16="http://schemas.microsoft.com/office/drawing/2014/main" id="{00000000-0008-0000-1800-000051000000}"/>
            </a:ext>
          </a:extLst>
        </xdr:cNvPr>
        <xdr:cNvGrpSpPr/>
      </xdr:nvGrpSpPr>
      <xdr:grpSpPr>
        <a:xfrm>
          <a:off x="9055186" y="2590800"/>
          <a:ext cx="0" cy="6350"/>
          <a:chOff x="0" y="0"/>
          <a:chExt cx="0" cy="6350"/>
        </a:xfrm>
      </xdr:grpSpPr>
      <xdr:sp macro="" textlink="">
        <xdr:nvSpPr>
          <xdr:cNvPr id="82" name="Shape 47">
            <a:extLst>
              <a:ext uri="{FF2B5EF4-FFF2-40B4-BE49-F238E27FC236}">
                <a16:creationId xmlns:a16="http://schemas.microsoft.com/office/drawing/2014/main" id="{00000000-0008-0000-1800-000052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83" name="Shape 48">
            <a:extLst>
              <a:ext uri="{FF2B5EF4-FFF2-40B4-BE49-F238E27FC236}">
                <a16:creationId xmlns:a16="http://schemas.microsoft.com/office/drawing/2014/main" id="{00000000-0008-0000-1800-000053000000}"/>
              </a:ext>
            </a:extLst>
          </xdr:cNvPr>
          <xdr:cNvSpPr/>
        </xdr:nvSpPr>
        <xdr:spPr>
          <a:xfrm>
            <a:off x="5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10</xdr:col>
      <xdr:colOff>3830</xdr:colOff>
      <xdr:row>10</xdr:row>
      <xdr:rowOff>111599</xdr:rowOff>
    </xdr:from>
    <xdr:ext cx="0" cy="6350"/>
    <xdr:grpSp>
      <xdr:nvGrpSpPr>
        <xdr:cNvPr id="84" name="Group 2">
          <a:extLst>
            <a:ext uri="{FF2B5EF4-FFF2-40B4-BE49-F238E27FC236}">
              <a16:creationId xmlns:a16="http://schemas.microsoft.com/office/drawing/2014/main" id="{00000000-0008-0000-1800-000054000000}"/>
            </a:ext>
          </a:extLst>
        </xdr:cNvPr>
        <xdr:cNvGrpSpPr/>
      </xdr:nvGrpSpPr>
      <xdr:grpSpPr>
        <a:xfrm>
          <a:off x="10281305" y="2702399"/>
          <a:ext cx="0" cy="6350"/>
          <a:chOff x="0" y="0"/>
          <a:chExt cx="0" cy="6350"/>
        </a:xfrm>
      </xdr:grpSpPr>
      <xdr:sp macro="" textlink="">
        <xdr:nvSpPr>
          <xdr:cNvPr id="85" name="Shape 3">
            <a:extLst>
              <a:ext uri="{FF2B5EF4-FFF2-40B4-BE49-F238E27FC236}">
                <a16:creationId xmlns:a16="http://schemas.microsoft.com/office/drawing/2014/main" id="{00000000-0008-0000-1800-000055000000}"/>
              </a:ext>
            </a:extLst>
          </xdr:cNvPr>
          <xdr:cNvSpPr/>
        </xdr:nvSpPr>
        <xdr:spPr>
          <a:xfrm>
            <a:off x="3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86" name="Shape 4">
            <a:extLst>
              <a:ext uri="{FF2B5EF4-FFF2-40B4-BE49-F238E27FC236}">
                <a16:creationId xmlns:a16="http://schemas.microsoft.com/office/drawing/2014/main" id="{00000000-0008-0000-1800-000056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87" name="Shape 5">
            <a:extLst>
              <a:ext uri="{FF2B5EF4-FFF2-40B4-BE49-F238E27FC236}">
                <a16:creationId xmlns:a16="http://schemas.microsoft.com/office/drawing/2014/main" id="{00000000-0008-0000-1800-000057000000}"/>
              </a:ext>
            </a:extLst>
          </xdr:cNvPr>
          <xdr:cNvSpPr/>
        </xdr:nvSpPr>
        <xdr:spPr>
          <a:xfrm>
            <a:off x="3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11</xdr:col>
      <xdr:colOff>4215</xdr:colOff>
      <xdr:row>10</xdr:row>
      <xdr:rowOff>111599</xdr:rowOff>
    </xdr:from>
    <xdr:ext cx="0" cy="6350"/>
    <xdr:grpSp>
      <xdr:nvGrpSpPr>
        <xdr:cNvPr id="88" name="Group 6">
          <a:extLst>
            <a:ext uri="{FF2B5EF4-FFF2-40B4-BE49-F238E27FC236}">
              <a16:creationId xmlns:a16="http://schemas.microsoft.com/office/drawing/2014/main" id="{00000000-0008-0000-1800-000058000000}"/>
            </a:ext>
          </a:extLst>
        </xdr:cNvPr>
        <xdr:cNvGrpSpPr/>
      </xdr:nvGrpSpPr>
      <xdr:grpSpPr>
        <a:xfrm>
          <a:off x="10843665" y="2702399"/>
          <a:ext cx="0" cy="6350"/>
          <a:chOff x="0" y="0"/>
          <a:chExt cx="0" cy="6350"/>
        </a:xfrm>
      </xdr:grpSpPr>
      <xdr:sp macro="" textlink="">
        <xdr:nvSpPr>
          <xdr:cNvPr id="89" name="Shape 7">
            <a:extLst>
              <a:ext uri="{FF2B5EF4-FFF2-40B4-BE49-F238E27FC236}">
                <a16:creationId xmlns:a16="http://schemas.microsoft.com/office/drawing/2014/main" id="{00000000-0008-0000-1800-000059000000}"/>
              </a:ext>
            </a:extLst>
          </xdr:cNvPr>
          <xdr:cNvSpPr/>
        </xdr:nvSpPr>
        <xdr:spPr>
          <a:xfrm>
            <a:off x="3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90" name="Shape 8">
            <a:extLst>
              <a:ext uri="{FF2B5EF4-FFF2-40B4-BE49-F238E27FC236}">
                <a16:creationId xmlns:a16="http://schemas.microsoft.com/office/drawing/2014/main" id="{00000000-0008-0000-1800-00005A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91" name="Shape 9">
            <a:extLst>
              <a:ext uri="{FF2B5EF4-FFF2-40B4-BE49-F238E27FC236}">
                <a16:creationId xmlns:a16="http://schemas.microsoft.com/office/drawing/2014/main" id="{00000000-0008-0000-1800-00005B000000}"/>
              </a:ext>
            </a:extLst>
          </xdr:cNvPr>
          <xdr:cNvSpPr/>
        </xdr:nvSpPr>
        <xdr:spPr>
          <a:xfrm>
            <a:off x="3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9</xdr:col>
      <xdr:colOff>3543</xdr:colOff>
      <xdr:row>10</xdr:row>
      <xdr:rowOff>257169</xdr:rowOff>
    </xdr:from>
    <xdr:ext cx="0" cy="6350"/>
    <xdr:grpSp>
      <xdr:nvGrpSpPr>
        <xdr:cNvPr id="92" name="Group 33">
          <a:extLst>
            <a:ext uri="{FF2B5EF4-FFF2-40B4-BE49-F238E27FC236}">
              <a16:creationId xmlns:a16="http://schemas.microsoft.com/office/drawing/2014/main" id="{00000000-0008-0000-1800-00005C000000}"/>
            </a:ext>
          </a:extLst>
        </xdr:cNvPr>
        <xdr:cNvGrpSpPr/>
      </xdr:nvGrpSpPr>
      <xdr:grpSpPr>
        <a:xfrm>
          <a:off x="9719043" y="2847969"/>
          <a:ext cx="0" cy="6350"/>
          <a:chOff x="0" y="0"/>
          <a:chExt cx="0" cy="6350"/>
        </a:xfrm>
      </xdr:grpSpPr>
      <xdr:sp macro="" textlink="">
        <xdr:nvSpPr>
          <xdr:cNvPr id="93" name="Shape 34">
            <a:extLst>
              <a:ext uri="{FF2B5EF4-FFF2-40B4-BE49-F238E27FC236}">
                <a16:creationId xmlns:a16="http://schemas.microsoft.com/office/drawing/2014/main" id="{00000000-0008-0000-1800-00005D000000}"/>
              </a:ext>
            </a:extLst>
          </xdr:cNvPr>
          <xdr:cNvSpPr/>
        </xdr:nvSpPr>
        <xdr:spPr>
          <a:xfrm>
            <a:off x="0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94" name="Shape 35">
            <a:extLst>
              <a:ext uri="{FF2B5EF4-FFF2-40B4-BE49-F238E27FC236}">
                <a16:creationId xmlns:a16="http://schemas.microsoft.com/office/drawing/2014/main" id="{00000000-0008-0000-1800-00005E000000}"/>
              </a:ext>
            </a:extLst>
          </xdr:cNvPr>
          <xdr:cNvSpPr/>
        </xdr:nvSpPr>
        <xdr:spPr>
          <a:xfrm>
            <a:off x="1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95" name="Shape 36">
            <a:extLst>
              <a:ext uri="{FF2B5EF4-FFF2-40B4-BE49-F238E27FC236}">
                <a16:creationId xmlns:a16="http://schemas.microsoft.com/office/drawing/2014/main" id="{00000000-0008-0000-1800-00005F000000}"/>
              </a:ext>
            </a:extLst>
          </xdr:cNvPr>
          <xdr:cNvSpPr/>
        </xdr:nvSpPr>
        <xdr:spPr>
          <a:xfrm>
            <a:off x="1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9</xdr:col>
      <xdr:colOff>465702</xdr:colOff>
      <xdr:row>10</xdr:row>
      <xdr:rowOff>252944</xdr:rowOff>
    </xdr:from>
    <xdr:ext cx="0" cy="6350"/>
    <xdr:grpSp>
      <xdr:nvGrpSpPr>
        <xdr:cNvPr id="96" name="Group 25">
          <a:extLst>
            <a:ext uri="{FF2B5EF4-FFF2-40B4-BE49-F238E27FC236}">
              <a16:creationId xmlns:a16="http://schemas.microsoft.com/office/drawing/2014/main" id="{00000000-0008-0000-1800-000060000000}"/>
            </a:ext>
          </a:extLst>
        </xdr:cNvPr>
        <xdr:cNvGrpSpPr/>
      </xdr:nvGrpSpPr>
      <xdr:grpSpPr>
        <a:xfrm>
          <a:off x="10181202" y="2843744"/>
          <a:ext cx="0" cy="6350"/>
          <a:chOff x="0" y="0"/>
          <a:chExt cx="0" cy="6350"/>
        </a:xfrm>
      </xdr:grpSpPr>
      <xdr:sp macro="" textlink="">
        <xdr:nvSpPr>
          <xdr:cNvPr id="97" name="Shape 26">
            <a:extLst>
              <a:ext uri="{FF2B5EF4-FFF2-40B4-BE49-F238E27FC236}">
                <a16:creationId xmlns:a16="http://schemas.microsoft.com/office/drawing/2014/main" id="{00000000-0008-0000-1800-000061000000}"/>
              </a:ext>
            </a:extLst>
          </xdr:cNvPr>
          <xdr:cNvSpPr/>
        </xdr:nvSpPr>
        <xdr:spPr>
          <a:xfrm>
            <a:off x="6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98" name="Shape 27">
            <a:extLst>
              <a:ext uri="{FF2B5EF4-FFF2-40B4-BE49-F238E27FC236}">
                <a16:creationId xmlns:a16="http://schemas.microsoft.com/office/drawing/2014/main" id="{00000000-0008-0000-1800-000062000000}"/>
              </a:ext>
            </a:extLst>
          </xdr:cNvPr>
          <xdr:cNvSpPr/>
        </xdr:nvSpPr>
        <xdr:spPr>
          <a:xfrm>
            <a:off x="0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99" name="Shape 28">
            <a:extLst>
              <a:ext uri="{FF2B5EF4-FFF2-40B4-BE49-F238E27FC236}">
                <a16:creationId xmlns:a16="http://schemas.microsoft.com/office/drawing/2014/main" id="{00000000-0008-0000-1800-000063000000}"/>
              </a:ext>
            </a:extLst>
          </xdr:cNvPr>
          <xdr:cNvSpPr/>
        </xdr:nvSpPr>
        <xdr:spPr>
          <a:xfrm>
            <a:off x="6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11</xdr:col>
      <xdr:colOff>464875</xdr:colOff>
      <xdr:row>10</xdr:row>
      <xdr:rowOff>252944</xdr:rowOff>
    </xdr:from>
    <xdr:ext cx="635" cy="6350"/>
    <xdr:grpSp>
      <xdr:nvGrpSpPr>
        <xdr:cNvPr id="100" name="Group 32">
          <a:extLst>
            <a:ext uri="{FF2B5EF4-FFF2-40B4-BE49-F238E27FC236}">
              <a16:creationId xmlns:a16="http://schemas.microsoft.com/office/drawing/2014/main" id="{00000000-0008-0000-1800-000064000000}"/>
            </a:ext>
          </a:extLst>
        </xdr:cNvPr>
        <xdr:cNvGrpSpPr/>
      </xdr:nvGrpSpPr>
      <xdr:grpSpPr>
        <a:xfrm>
          <a:off x="11304325" y="2843744"/>
          <a:ext cx="635" cy="6350"/>
          <a:chOff x="0" y="0"/>
          <a:chExt cx="635" cy="6350"/>
        </a:xfrm>
      </xdr:grpSpPr>
      <xdr:sp macro="" textlink="">
        <xdr:nvSpPr>
          <xdr:cNvPr id="101" name="Shape 33">
            <a:extLst>
              <a:ext uri="{FF2B5EF4-FFF2-40B4-BE49-F238E27FC236}">
                <a16:creationId xmlns:a16="http://schemas.microsoft.com/office/drawing/2014/main" id="{00000000-0008-0000-1800-000065000000}"/>
              </a:ext>
            </a:extLst>
          </xdr:cNvPr>
          <xdr:cNvSpPr/>
        </xdr:nvSpPr>
        <xdr:spPr>
          <a:xfrm>
            <a:off x="6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102" name="Shape 34">
            <a:extLst>
              <a:ext uri="{FF2B5EF4-FFF2-40B4-BE49-F238E27FC236}">
                <a16:creationId xmlns:a16="http://schemas.microsoft.com/office/drawing/2014/main" id="{00000000-0008-0000-1800-000066000000}"/>
              </a:ext>
            </a:extLst>
          </xdr:cNvPr>
          <xdr:cNvSpPr/>
        </xdr:nvSpPr>
        <xdr:spPr>
          <a:xfrm>
            <a:off x="0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103" name="Shape 35">
            <a:extLst>
              <a:ext uri="{FF2B5EF4-FFF2-40B4-BE49-F238E27FC236}">
                <a16:creationId xmlns:a16="http://schemas.microsoft.com/office/drawing/2014/main" id="{00000000-0008-0000-1800-000067000000}"/>
              </a:ext>
            </a:extLst>
          </xdr:cNvPr>
          <xdr:cNvSpPr/>
        </xdr:nvSpPr>
        <xdr:spPr>
          <a:xfrm>
            <a:off x="6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10</xdr:col>
      <xdr:colOff>465289</xdr:colOff>
      <xdr:row>10</xdr:row>
      <xdr:rowOff>252949</xdr:rowOff>
    </xdr:from>
    <xdr:ext cx="0" cy="6350"/>
    <xdr:grpSp>
      <xdr:nvGrpSpPr>
        <xdr:cNvPr id="104" name="Group 52">
          <a:extLst>
            <a:ext uri="{FF2B5EF4-FFF2-40B4-BE49-F238E27FC236}">
              <a16:creationId xmlns:a16="http://schemas.microsoft.com/office/drawing/2014/main" id="{00000000-0008-0000-1800-000068000000}"/>
            </a:ext>
          </a:extLst>
        </xdr:cNvPr>
        <xdr:cNvGrpSpPr/>
      </xdr:nvGrpSpPr>
      <xdr:grpSpPr>
        <a:xfrm>
          <a:off x="10742764" y="2843749"/>
          <a:ext cx="0" cy="6350"/>
          <a:chOff x="0" y="0"/>
          <a:chExt cx="0" cy="6350"/>
        </a:xfrm>
      </xdr:grpSpPr>
      <xdr:sp macro="" textlink="">
        <xdr:nvSpPr>
          <xdr:cNvPr id="105" name="Shape 53">
            <a:extLst>
              <a:ext uri="{FF2B5EF4-FFF2-40B4-BE49-F238E27FC236}">
                <a16:creationId xmlns:a16="http://schemas.microsoft.com/office/drawing/2014/main" id="{00000000-0008-0000-1800-000069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106" name="Shape 54">
            <a:extLst>
              <a:ext uri="{FF2B5EF4-FFF2-40B4-BE49-F238E27FC236}">
                <a16:creationId xmlns:a16="http://schemas.microsoft.com/office/drawing/2014/main" id="{00000000-0008-0000-1800-00006A000000}"/>
              </a:ext>
            </a:extLst>
          </xdr:cNvPr>
          <xdr:cNvSpPr/>
        </xdr:nvSpPr>
        <xdr:spPr>
          <a:xfrm>
            <a:off x="5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10</xdr:col>
      <xdr:colOff>465673</xdr:colOff>
      <xdr:row>10</xdr:row>
      <xdr:rowOff>239132</xdr:rowOff>
    </xdr:from>
    <xdr:ext cx="0" cy="6350"/>
    <xdr:grpSp>
      <xdr:nvGrpSpPr>
        <xdr:cNvPr id="107" name="Group 29">
          <a:extLst>
            <a:ext uri="{FF2B5EF4-FFF2-40B4-BE49-F238E27FC236}">
              <a16:creationId xmlns:a16="http://schemas.microsoft.com/office/drawing/2014/main" id="{00000000-0008-0000-1800-00006B000000}"/>
            </a:ext>
          </a:extLst>
        </xdr:cNvPr>
        <xdr:cNvGrpSpPr/>
      </xdr:nvGrpSpPr>
      <xdr:grpSpPr>
        <a:xfrm>
          <a:off x="10743148" y="2829932"/>
          <a:ext cx="0" cy="6350"/>
          <a:chOff x="0" y="0"/>
          <a:chExt cx="0" cy="6350"/>
        </a:xfrm>
      </xdr:grpSpPr>
      <xdr:sp macro="" textlink="">
        <xdr:nvSpPr>
          <xdr:cNvPr id="108" name="Shape 30">
            <a:extLst>
              <a:ext uri="{FF2B5EF4-FFF2-40B4-BE49-F238E27FC236}">
                <a16:creationId xmlns:a16="http://schemas.microsoft.com/office/drawing/2014/main" id="{00000000-0008-0000-1800-00006C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109" name="Shape 31">
            <a:extLst>
              <a:ext uri="{FF2B5EF4-FFF2-40B4-BE49-F238E27FC236}">
                <a16:creationId xmlns:a16="http://schemas.microsoft.com/office/drawing/2014/main" id="{00000000-0008-0000-1800-00006D000000}"/>
              </a:ext>
            </a:extLst>
          </xdr:cNvPr>
          <xdr:cNvSpPr/>
        </xdr:nvSpPr>
        <xdr:spPr>
          <a:xfrm>
            <a:off x="5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9</xdr:col>
      <xdr:colOff>464049</xdr:colOff>
      <xdr:row>10</xdr:row>
      <xdr:rowOff>0</xdr:rowOff>
    </xdr:from>
    <xdr:ext cx="0" cy="6350"/>
    <xdr:grpSp>
      <xdr:nvGrpSpPr>
        <xdr:cNvPr id="110" name="Group 39">
          <a:extLst>
            <a:ext uri="{FF2B5EF4-FFF2-40B4-BE49-F238E27FC236}">
              <a16:creationId xmlns:a16="http://schemas.microsoft.com/office/drawing/2014/main" id="{00000000-0008-0000-1800-00006E000000}"/>
            </a:ext>
          </a:extLst>
        </xdr:cNvPr>
        <xdr:cNvGrpSpPr/>
      </xdr:nvGrpSpPr>
      <xdr:grpSpPr>
        <a:xfrm>
          <a:off x="10179549" y="2590800"/>
          <a:ext cx="0" cy="6350"/>
          <a:chOff x="0" y="0"/>
          <a:chExt cx="0" cy="6350"/>
        </a:xfrm>
      </xdr:grpSpPr>
      <xdr:sp macro="" textlink="">
        <xdr:nvSpPr>
          <xdr:cNvPr id="111" name="Shape 40">
            <a:extLst>
              <a:ext uri="{FF2B5EF4-FFF2-40B4-BE49-F238E27FC236}">
                <a16:creationId xmlns:a16="http://schemas.microsoft.com/office/drawing/2014/main" id="{00000000-0008-0000-1800-00006F000000}"/>
              </a:ext>
            </a:extLst>
          </xdr:cNvPr>
          <xdr:cNvSpPr/>
        </xdr:nvSpPr>
        <xdr:spPr>
          <a:xfrm>
            <a:off x="0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112" name="Shape 41">
            <a:extLst>
              <a:ext uri="{FF2B5EF4-FFF2-40B4-BE49-F238E27FC236}">
                <a16:creationId xmlns:a16="http://schemas.microsoft.com/office/drawing/2014/main" id="{00000000-0008-0000-1800-000070000000}"/>
              </a:ext>
            </a:extLst>
          </xdr:cNvPr>
          <xdr:cNvSpPr/>
        </xdr:nvSpPr>
        <xdr:spPr>
          <a:xfrm>
            <a:off x="6" y="3180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113" name="Shape 42">
            <a:extLst>
              <a:ext uri="{FF2B5EF4-FFF2-40B4-BE49-F238E27FC236}">
                <a16:creationId xmlns:a16="http://schemas.microsoft.com/office/drawing/2014/main" id="{00000000-0008-0000-1800-000071000000}"/>
              </a:ext>
            </a:extLst>
          </xdr:cNvPr>
          <xdr:cNvSpPr/>
        </xdr:nvSpPr>
        <xdr:spPr>
          <a:xfrm>
            <a:off x="6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10</xdr:col>
      <xdr:colOff>463636</xdr:colOff>
      <xdr:row>10</xdr:row>
      <xdr:rowOff>0</xdr:rowOff>
    </xdr:from>
    <xdr:ext cx="0" cy="6350"/>
    <xdr:grpSp>
      <xdr:nvGrpSpPr>
        <xdr:cNvPr id="114" name="Group 46">
          <a:extLst>
            <a:ext uri="{FF2B5EF4-FFF2-40B4-BE49-F238E27FC236}">
              <a16:creationId xmlns:a16="http://schemas.microsoft.com/office/drawing/2014/main" id="{00000000-0008-0000-1800-000072000000}"/>
            </a:ext>
          </a:extLst>
        </xdr:cNvPr>
        <xdr:cNvGrpSpPr/>
      </xdr:nvGrpSpPr>
      <xdr:grpSpPr>
        <a:xfrm>
          <a:off x="10741111" y="2590800"/>
          <a:ext cx="0" cy="6350"/>
          <a:chOff x="0" y="0"/>
          <a:chExt cx="0" cy="6350"/>
        </a:xfrm>
      </xdr:grpSpPr>
      <xdr:sp macro="" textlink="">
        <xdr:nvSpPr>
          <xdr:cNvPr id="115" name="Shape 47">
            <a:extLst>
              <a:ext uri="{FF2B5EF4-FFF2-40B4-BE49-F238E27FC236}">
                <a16:creationId xmlns:a16="http://schemas.microsoft.com/office/drawing/2014/main" id="{00000000-0008-0000-1800-000073000000}"/>
              </a:ext>
            </a:extLst>
          </xdr:cNvPr>
          <xdr:cNvSpPr/>
        </xdr:nvSpPr>
        <xdr:spPr>
          <a:xfrm>
            <a:off x="0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116" name="Shape 48">
            <a:extLst>
              <a:ext uri="{FF2B5EF4-FFF2-40B4-BE49-F238E27FC236}">
                <a16:creationId xmlns:a16="http://schemas.microsoft.com/office/drawing/2014/main" id="{00000000-0008-0000-1800-000074000000}"/>
              </a:ext>
            </a:extLst>
          </xdr:cNvPr>
          <xdr:cNvSpPr/>
        </xdr:nvSpPr>
        <xdr:spPr>
          <a:xfrm>
            <a:off x="5" y="3175"/>
            <a:ext cx="0" cy="0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oneCellAnchor>
  <xdr:oneCellAnchor>
    <xdr:from>
      <xdr:col>1</xdr:col>
      <xdr:colOff>23812</xdr:colOff>
      <xdr:row>2</xdr:row>
      <xdr:rowOff>126989</xdr:rowOff>
    </xdr:from>
    <xdr:ext cx="9139238" cy="53986"/>
    <xdr:sp macro="" textlink="">
      <xdr:nvSpPr>
        <xdr:cNvPr id="117" name="Shape 2">
          <a:extLst>
            <a:ext uri="{FF2B5EF4-FFF2-40B4-BE49-F238E27FC236}">
              <a16:creationId xmlns:a16="http://schemas.microsoft.com/office/drawing/2014/main" id="{00000000-0008-0000-1800-000075000000}"/>
            </a:ext>
          </a:extLst>
        </xdr:cNvPr>
        <xdr:cNvSpPr/>
      </xdr:nvSpPr>
      <xdr:spPr>
        <a:xfrm flipV="1">
          <a:off x="328612" y="507989"/>
          <a:ext cx="9139238" cy="53986"/>
        </a:xfrm>
        <a:custGeom>
          <a:avLst/>
          <a:gdLst/>
          <a:ahLst/>
          <a:cxnLst/>
          <a:rect l="0" t="0" r="0" b="0"/>
          <a:pathLst>
            <a:path w="4518660">
              <a:moveTo>
                <a:pt x="0" y="0"/>
              </a:moveTo>
              <a:lnTo>
                <a:pt x="4518660" y="0"/>
              </a:lnTo>
            </a:path>
          </a:pathLst>
        </a:custGeom>
        <a:ln w="6350">
          <a:solidFill>
            <a:srgbClr val="B3B2B2"/>
          </a:solidFill>
        </a:ln>
      </xdr:spPr>
    </xdr:sp>
    <xdr:clientData/>
  </xdr:oneCellAnchor>
  <xdr:oneCellAnchor>
    <xdr:from>
      <xdr:col>11</xdr:col>
      <xdr:colOff>277823</xdr:colOff>
      <xdr:row>2</xdr:row>
      <xdr:rowOff>23807</xdr:rowOff>
    </xdr:from>
    <xdr:ext cx="288290" cy="288290"/>
    <xdr:grpSp>
      <xdr:nvGrpSpPr>
        <xdr:cNvPr id="118" name="Group 3">
          <a:extLst>
            <a:ext uri="{FF2B5EF4-FFF2-40B4-BE49-F238E27FC236}">
              <a16:creationId xmlns:a16="http://schemas.microsoft.com/office/drawing/2014/main" id="{00000000-0008-0000-1800-000076000000}"/>
            </a:ext>
          </a:extLst>
        </xdr:cNvPr>
        <xdr:cNvGrpSpPr/>
      </xdr:nvGrpSpPr>
      <xdr:grpSpPr>
        <a:xfrm>
          <a:off x="11117273" y="404807"/>
          <a:ext cx="288290" cy="288290"/>
          <a:chOff x="0" y="0"/>
          <a:chExt cx="288290" cy="288290"/>
        </a:xfrm>
      </xdr:grpSpPr>
      <xdr:sp macro="" textlink="">
        <xdr:nvSpPr>
          <xdr:cNvPr id="119" name="Shape 4">
            <a:extLst>
              <a:ext uri="{FF2B5EF4-FFF2-40B4-BE49-F238E27FC236}">
                <a16:creationId xmlns:a16="http://schemas.microsoft.com/office/drawing/2014/main" id="{00000000-0008-0000-1800-000077000000}"/>
              </a:ext>
            </a:extLst>
          </xdr:cNvPr>
          <xdr:cNvSpPr/>
        </xdr:nvSpPr>
        <xdr:spPr>
          <a:xfrm>
            <a:off x="0" y="0"/>
            <a:ext cx="288290" cy="288290"/>
          </a:xfrm>
          <a:custGeom>
            <a:avLst/>
            <a:gdLst/>
            <a:ahLst/>
            <a:cxnLst/>
            <a:rect l="0" t="0" r="0" b="0"/>
            <a:pathLst>
              <a:path w="288290" h="288290">
                <a:moveTo>
                  <a:pt x="288290" y="0"/>
                </a:moveTo>
                <a:lnTo>
                  <a:pt x="0" y="0"/>
                </a:lnTo>
                <a:lnTo>
                  <a:pt x="0" y="288290"/>
                </a:lnTo>
                <a:lnTo>
                  <a:pt x="288290" y="288290"/>
                </a:lnTo>
                <a:lnTo>
                  <a:pt x="288290" y="0"/>
                </a:lnTo>
                <a:close/>
              </a:path>
            </a:pathLst>
          </a:custGeom>
          <a:solidFill>
            <a:srgbClr val="B3B2B2"/>
          </a:solidFill>
        </xdr:spPr>
      </xdr:sp>
      <xdr:sp macro="" textlink="">
        <xdr:nvSpPr>
          <xdr:cNvPr id="120" name="Shape 5">
            <a:extLst>
              <a:ext uri="{FF2B5EF4-FFF2-40B4-BE49-F238E27FC236}">
                <a16:creationId xmlns:a16="http://schemas.microsoft.com/office/drawing/2014/main" id="{00000000-0008-0000-1800-000078000000}"/>
              </a:ext>
            </a:extLst>
          </xdr:cNvPr>
          <xdr:cNvSpPr/>
        </xdr:nvSpPr>
        <xdr:spPr>
          <a:xfrm>
            <a:off x="18468" y="119486"/>
            <a:ext cx="50165" cy="59055"/>
          </a:xfrm>
          <a:custGeom>
            <a:avLst/>
            <a:gdLst/>
            <a:ahLst/>
            <a:cxnLst/>
            <a:rect l="0" t="0" r="0" b="0"/>
            <a:pathLst>
              <a:path w="50165" h="59055">
                <a:moveTo>
                  <a:pt x="0" y="58826"/>
                </a:moveTo>
                <a:lnTo>
                  <a:pt x="50050" y="0"/>
                </a:lnTo>
              </a:path>
            </a:pathLst>
          </a:custGeom>
          <a:ln w="10160">
            <a:solidFill>
              <a:srgbClr val="FFFFFF"/>
            </a:solidFill>
          </a:ln>
        </xdr:spPr>
      </xdr:sp>
      <xdr:sp macro="" textlink="">
        <xdr:nvSpPr>
          <xdr:cNvPr id="121" name="Shape 6">
            <a:extLst>
              <a:ext uri="{FF2B5EF4-FFF2-40B4-BE49-F238E27FC236}">
                <a16:creationId xmlns:a16="http://schemas.microsoft.com/office/drawing/2014/main" id="{00000000-0008-0000-1800-000079000000}"/>
              </a:ext>
            </a:extLst>
          </xdr:cNvPr>
          <xdr:cNvSpPr/>
        </xdr:nvSpPr>
        <xdr:spPr>
          <a:xfrm>
            <a:off x="71264" y="118998"/>
            <a:ext cx="21590" cy="45720"/>
          </a:xfrm>
          <a:custGeom>
            <a:avLst/>
            <a:gdLst/>
            <a:ahLst/>
            <a:cxnLst/>
            <a:rect l="0" t="0" r="0" b="0"/>
            <a:pathLst>
              <a:path w="21590" h="45720">
                <a:moveTo>
                  <a:pt x="0" y="0"/>
                </a:moveTo>
                <a:lnTo>
                  <a:pt x="21285" y="45199"/>
                </a:lnTo>
              </a:path>
            </a:pathLst>
          </a:custGeom>
          <a:ln w="10160">
            <a:solidFill>
              <a:srgbClr val="FFFFFF"/>
            </a:solidFill>
          </a:ln>
        </xdr:spPr>
      </xdr:sp>
      <xdr:sp macro="" textlink="">
        <xdr:nvSpPr>
          <xdr:cNvPr id="122" name="Shape 7">
            <a:extLst>
              <a:ext uri="{FF2B5EF4-FFF2-40B4-BE49-F238E27FC236}">
                <a16:creationId xmlns:a16="http://schemas.microsoft.com/office/drawing/2014/main" id="{00000000-0008-0000-1800-00007A000000}"/>
              </a:ext>
            </a:extLst>
          </xdr:cNvPr>
          <xdr:cNvSpPr/>
        </xdr:nvSpPr>
        <xdr:spPr>
          <a:xfrm>
            <a:off x="98322" y="101048"/>
            <a:ext cx="38735" cy="63500"/>
          </a:xfrm>
          <a:custGeom>
            <a:avLst/>
            <a:gdLst/>
            <a:ahLst/>
            <a:cxnLst/>
            <a:rect l="0" t="0" r="0" b="0"/>
            <a:pathLst>
              <a:path w="38735" h="63500">
                <a:moveTo>
                  <a:pt x="0" y="63322"/>
                </a:moveTo>
                <a:lnTo>
                  <a:pt x="38290" y="0"/>
                </a:lnTo>
              </a:path>
            </a:pathLst>
          </a:custGeom>
          <a:ln w="10160">
            <a:solidFill>
              <a:srgbClr val="FFFFFF"/>
            </a:solidFill>
          </a:ln>
        </xdr:spPr>
      </xdr:sp>
      <xdr:sp macro="" textlink="">
        <xdr:nvSpPr>
          <xdr:cNvPr id="123" name="Shape 8">
            <a:extLst>
              <a:ext uri="{FF2B5EF4-FFF2-40B4-BE49-F238E27FC236}">
                <a16:creationId xmlns:a16="http://schemas.microsoft.com/office/drawing/2014/main" id="{00000000-0008-0000-1800-00007B000000}"/>
              </a:ext>
            </a:extLst>
          </xdr:cNvPr>
          <xdr:cNvSpPr/>
        </xdr:nvSpPr>
        <xdr:spPr>
          <a:xfrm>
            <a:off x="142948" y="104541"/>
            <a:ext cx="41275" cy="80645"/>
          </a:xfrm>
          <a:custGeom>
            <a:avLst/>
            <a:gdLst/>
            <a:ahLst/>
            <a:cxnLst/>
            <a:rect l="0" t="0" r="0" b="0"/>
            <a:pathLst>
              <a:path w="41275" h="80645">
                <a:moveTo>
                  <a:pt x="0" y="0"/>
                </a:moveTo>
                <a:lnTo>
                  <a:pt x="41122" y="80467"/>
                </a:lnTo>
              </a:path>
            </a:pathLst>
          </a:custGeom>
          <a:ln w="10160">
            <a:solidFill>
              <a:srgbClr val="FFFFFF"/>
            </a:solidFill>
          </a:ln>
        </xdr:spPr>
      </xdr:sp>
      <xdr:sp macro="" textlink="">
        <xdr:nvSpPr>
          <xdr:cNvPr id="124" name="Shape 9">
            <a:extLst>
              <a:ext uri="{FF2B5EF4-FFF2-40B4-BE49-F238E27FC236}">
                <a16:creationId xmlns:a16="http://schemas.microsoft.com/office/drawing/2014/main" id="{00000000-0008-0000-1800-00007C000000}"/>
              </a:ext>
            </a:extLst>
          </xdr:cNvPr>
          <xdr:cNvSpPr/>
        </xdr:nvSpPr>
        <xdr:spPr>
          <a:xfrm>
            <a:off x="189016" y="51689"/>
            <a:ext cx="87630" cy="132715"/>
          </a:xfrm>
          <a:custGeom>
            <a:avLst/>
            <a:gdLst/>
            <a:ahLst/>
            <a:cxnLst/>
            <a:rect l="0" t="0" r="0" b="0"/>
            <a:pathLst>
              <a:path w="87630" h="132715">
                <a:moveTo>
                  <a:pt x="0" y="132194"/>
                </a:moveTo>
                <a:lnTo>
                  <a:pt x="87414" y="0"/>
                </a:lnTo>
              </a:path>
            </a:pathLst>
          </a:custGeom>
          <a:ln w="10160">
            <a:solidFill>
              <a:srgbClr val="FFFFFF"/>
            </a:solidFill>
          </a:ln>
        </xdr:spPr>
      </xdr:sp>
    </xdr:grp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DCF%2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TYWKBKS\LA\MEX9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drel/AppData/Local/Microsoft/Windows/Temporary%20Internet%20Files/Content.Outlook/L6KCPP17/Business%20Plan%20Model%20-%20Project%20Farm%20I%20(WIP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ribel/AppData/Local/Microsoft/Windows/Temporary%20Internet%20Files/Content.Outlook/96OT1MBA/Documentos/FOZ/Investimentos/Projetos/RMR/Modelo%20Foz%20&amp;%20Chupa%20Cabra/CC%20RMR%20v%2013%20cenario%203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Rabobank\Corporate%20e%20Structured%20finance\M&amp;A\Others\Templates%20M&amp;A%202010\LatAm\Excel\Financial%20Models\Rabobank%20DCF%20Model%20Final%20Nov%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"/>
      <sheetName val="Inputs"/>
      <sheetName val="Assum"/>
      <sheetName val="Op-BS"/>
      <sheetName val="IS"/>
      <sheetName val="BSCF"/>
      <sheetName val="Ratios"/>
      <sheetName val="Sens"/>
      <sheetName val="Matrix"/>
      <sheetName val="Contrib"/>
      <sheetName val="AcqIS"/>
      <sheetName val="AcqBSCF"/>
      <sheetName val="AcqRat"/>
      <sheetName val="AcqDCF1"/>
      <sheetName val="AcqDCF2"/>
      <sheetName val="Wacc"/>
      <sheetName val="DCF-EBITDA"/>
      <sheetName val="Summary"/>
      <sheetName val="Macroeconomic"/>
      <sheetName val="Scenarios"/>
      <sheetName val="Projections"/>
      <sheetName val="Income Statement"/>
      <sheetName val="Balance Sheet - Cash Flow"/>
      <sheetName val="Module1"/>
      <sheetName val="Module2"/>
      <sheetName val="Module3"/>
      <sheetName val="Module4"/>
    </sheetNames>
    <sheetDataSet>
      <sheetData sheetId="0" refreshError="1"/>
      <sheetData sheetId="1" refreshError="1"/>
      <sheetData sheetId="2" refreshError="1"/>
      <sheetData sheetId="3" refreshError="1">
        <row r="14">
          <cell r="E14" t="e">
            <v>#REF!</v>
          </cell>
        </row>
        <row r="15">
          <cell r="E15">
            <v>0</v>
          </cell>
        </row>
        <row r="17">
          <cell r="E17" t="e">
            <v>#REF!</v>
          </cell>
        </row>
        <row r="19">
          <cell r="E19">
            <v>95.678545017724929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MEX95IB"/>
      <sheetName val="Public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Consolidated"/>
      <sheetName val="Anicuns - GO"/>
      <sheetName val="Itapaci - GO"/>
      <sheetName val="Baía - RN"/>
      <sheetName val="S.José - SP"/>
      <sheetName val="Itapuranga - GO"/>
      <sheetName val="Pedroza - PE"/>
      <sheetName val="Alcool Verde - AC"/>
      <sheetName val="Taquarituba - SP"/>
      <sheetName val="Turvania - GO"/>
      <sheetName val="Iaciara - GO"/>
      <sheetName val="Itaberai - GO"/>
      <sheetName val="Price"/>
      <sheetName val="Consecana"/>
      <sheetName val="Parameter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9">
          <cell r="L19">
            <v>12</v>
          </cell>
          <cell r="M19">
            <v>12</v>
          </cell>
          <cell r="N19">
            <v>12</v>
          </cell>
          <cell r="O19">
            <v>12</v>
          </cell>
          <cell r="P19">
            <v>12</v>
          </cell>
          <cell r="Q19">
            <v>12</v>
          </cell>
          <cell r="R19">
            <v>12</v>
          </cell>
          <cell r="S19">
            <v>12</v>
          </cell>
          <cell r="T19">
            <v>12</v>
          </cell>
          <cell r="U19">
            <v>12</v>
          </cell>
          <cell r="V19">
            <v>12</v>
          </cell>
          <cell r="W19">
            <v>12</v>
          </cell>
          <cell r="X19">
            <v>12</v>
          </cell>
          <cell r="Y19">
            <v>12</v>
          </cell>
          <cell r="Z19">
            <v>12</v>
          </cell>
          <cell r="AA19">
            <v>12</v>
          </cell>
          <cell r="AB19">
            <v>12</v>
          </cell>
          <cell r="AC19">
            <v>12</v>
          </cell>
          <cell r="AD19">
            <v>12</v>
          </cell>
          <cell r="AE19">
            <v>12</v>
          </cell>
          <cell r="AF19">
            <v>12</v>
          </cell>
          <cell r="AG19">
            <v>12</v>
          </cell>
          <cell r="AH19">
            <v>12</v>
          </cell>
          <cell r="AI19">
            <v>12</v>
          </cell>
          <cell r="AJ19">
            <v>12</v>
          </cell>
          <cell r="AK19">
            <v>12</v>
          </cell>
          <cell r="AL19">
            <v>12</v>
          </cell>
          <cell r="AM19">
            <v>12</v>
          </cell>
          <cell r="AN19">
            <v>12</v>
          </cell>
          <cell r="AO19">
            <v>12</v>
          </cell>
          <cell r="AP19">
            <v>12</v>
          </cell>
        </row>
        <row r="20">
          <cell r="L20">
            <v>100</v>
          </cell>
          <cell r="M20">
            <v>100</v>
          </cell>
          <cell r="N20">
            <v>100</v>
          </cell>
          <cell r="O20">
            <v>100</v>
          </cell>
          <cell r="P20">
            <v>100</v>
          </cell>
          <cell r="Q20">
            <v>100</v>
          </cell>
          <cell r="R20">
            <v>100</v>
          </cell>
          <cell r="S20">
            <v>100</v>
          </cell>
          <cell r="T20">
            <v>100</v>
          </cell>
          <cell r="U20">
            <v>100</v>
          </cell>
          <cell r="V20">
            <v>100</v>
          </cell>
          <cell r="W20">
            <v>100</v>
          </cell>
          <cell r="X20">
            <v>100</v>
          </cell>
          <cell r="Y20">
            <v>100</v>
          </cell>
          <cell r="Z20">
            <v>100</v>
          </cell>
          <cell r="AA20">
            <v>100</v>
          </cell>
          <cell r="AB20">
            <v>100</v>
          </cell>
          <cell r="AC20">
            <v>100</v>
          </cell>
          <cell r="AD20">
            <v>100</v>
          </cell>
          <cell r="AE20">
            <v>100</v>
          </cell>
          <cell r="AF20">
            <v>100</v>
          </cell>
          <cell r="AG20">
            <v>100</v>
          </cell>
          <cell r="AH20">
            <v>100</v>
          </cell>
          <cell r="AI20">
            <v>100</v>
          </cell>
          <cell r="AJ20">
            <v>100</v>
          </cell>
          <cell r="AK20">
            <v>100</v>
          </cell>
          <cell r="AL20">
            <v>100</v>
          </cell>
          <cell r="AM20">
            <v>100</v>
          </cell>
          <cell r="AN20">
            <v>100</v>
          </cell>
          <cell r="AO20">
            <v>100</v>
          </cell>
          <cell r="AP20">
            <v>100</v>
          </cell>
        </row>
        <row r="22">
          <cell r="L22">
            <v>86</v>
          </cell>
          <cell r="M22">
            <v>86</v>
          </cell>
          <cell r="N22">
            <v>86</v>
          </cell>
          <cell r="O22">
            <v>86</v>
          </cell>
          <cell r="P22">
            <v>86</v>
          </cell>
          <cell r="Q22">
            <v>86</v>
          </cell>
          <cell r="R22">
            <v>86</v>
          </cell>
          <cell r="S22">
            <v>86</v>
          </cell>
          <cell r="T22">
            <v>86</v>
          </cell>
          <cell r="U22">
            <v>86</v>
          </cell>
          <cell r="V22">
            <v>86</v>
          </cell>
          <cell r="W22">
            <v>86</v>
          </cell>
          <cell r="X22">
            <v>86</v>
          </cell>
          <cell r="Y22">
            <v>86</v>
          </cell>
          <cell r="Z22">
            <v>86</v>
          </cell>
          <cell r="AA22">
            <v>86</v>
          </cell>
          <cell r="AB22">
            <v>86</v>
          </cell>
          <cell r="AC22">
            <v>86</v>
          </cell>
          <cell r="AD22">
            <v>86</v>
          </cell>
          <cell r="AE22">
            <v>86</v>
          </cell>
          <cell r="AF22">
            <v>86</v>
          </cell>
          <cell r="AG22">
            <v>86</v>
          </cell>
          <cell r="AH22">
            <v>86</v>
          </cell>
          <cell r="AI22">
            <v>86</v>
          </cell>
          <cell r="AJ22">
            <v>86</v>
          </cell>
          <cell r="AK22">
            <v>86</v>
          </cell>
          <cell r="AL22">
            <v>86</v>
          </cell>
          <cell r="AM22">
            <v>86</v>
          </cell>
          <cell r="AN22">
            <v>86</v>
          </cell>
          <cell r="AO22">
            <v>86</v>
          </cell>
          <cell r="AP22">
            <v>86</v>
          </cell>
        </row>
        <row r="23">
          <cell r="L23">
            <v>34</v>
          </cell>
          <cell r="M23">
            <v>34</v>
          </cell>
          <cell r="N23">
            <v>34</v>
          </cell>
          <cell r="O23">
            <v>34</v>
          </cell>
          <cell r="P23">
            <v>34</v>
          </cell>
          <cell r="Q23">
            <v>34</v>
          </cell>
          <cell r="R23">
            <v>34</v>
          </cell>
          <cell r="S23">
            <v>34</v>
          </cell>
          <cell r="T23">
            <v>34</v>
          </cell>
          <cell r="U23">
            <v>34</v>
          </cell>
          <cell r="V23">
            <v>34</v>
          </cell>
          <cell r="W23">
            <v>34</v>
          </cell>
          <cell r="X23">
            <v>34</v>
          </cell>
          <cell r="Y23">
            <v>34</v>
          </cell>
          <cell r="Z23">
            <v>34</v>
          </cell>
          <cell r="AA23">
            <v>34</v>
          </cell>
          <cell r="AB23">
            <v>34</v>
          </cell>
          <cell r="AC23">
            <v>34</v>
          </cell>
          <cell r="AD23">
            <v>34</v>
          </cell>
          <cell r="AE23">
            <v>34</v>
          </cell>
          <cell r="AF23">
            <v>34</v>
          </cell>
          <cell r="AG23">
            <v>34</v>
          </cell>
          <cell r="AH23">
            <v>34</v>
          </cell>
          <cell r="AI23">
            <v>34</v>
          </cell>
          <cell r="AJ23">
            <v>34</v>
          </cell>
          <cell r="AK23">
            <v>34</v>
          </cell>
          <cell r="AL23">
            <v>34</v>
          </cell>
          <cell r="AM23">
            <v>34</v>
          </cell>
          <cell r="AN23">
            <v>34</v>
          </cell>
          <cell r="AO23">
            <v>34</v>
          </cell>
          <cell r="AP23">
            <v>34</v>
          </cell>
        </row>
        <row r="24">
          <cell r="L24">
            <v>100</v>
          </cell>
          <cell r="M24">
            <v>100</v>
          </cell>
          <cell r="N24">
            <v>100</v>
          </cell>
          <cell r="O24">
            <v>100</v>
          </cell>
          <cell r="P24">
            <v>100</v>
          </cell>
          <cell r="Q24">
            <v>100</v>
          </cell>
          <cell r="R24">
            <v>100</v>
          </cell>
          <cell r="S24">
            <v>100</v>
          </cell>
          <cell r="T24">
            <v>100</v>
          </cell>
          <cell r="U24">
            <v>100</v>
          </cell>
          <cell r="V24">
            <v>100</v>
          </cell>
          <cell r="W24">
            <v>100</v>
          </cell>
          <cell r="X24">
            <v>100</v>
          </cell>
          <cell r="Y24">
            <v>100</v>
          </cell>
          <cell r="Z24">
            <v>100</v>
          </cell>
          <cell r="AA24">
            <v>100</v>
          </cell>
          <cell r="AB24">
            <v>100</v>
          </cell>
          <cell r="AC24">
            <v>100</v>
          </cell>
          <cell r="AD24">
            <v>100</v>
          </cell>
          <cell r="AE24">
            <v>100</v>
          </cell>
          <cell r="AF24">
            <v>100</v>
          </cell>
          <cell r="AG24">
            <v>100</v>
          </cell>
          <cell r="AH24">
            <v>100</v>
          </cell>
          <cell r="AI24">
            <v>100</v>
          </cell>
          <cell r="AJ24">
            <v>100</v>
          </cell>
          <cell r="AK24">
            <v>100</v>
          </cell>
          <cell r="AL24">
            <v>100</v>
          </cell>
          <cell r="AM24">
            <v>100</v>
          </cell>
          <cell r="AN24">
            <v>100</v>
          </cell>
          <cell r="AO24">
            <v>100</v>
          </cell>
          <cell r="AP24">
            <v>100</v>
          </cell>
        </row>
        <row r="25">
          <cell r="L25">
            <v>100</v>
          </cell>
          <cell r="M25">
            <v>100</v>
          </cell>
          <cell r="N25">
            <v>100</v>
          </cell>
          <cell r="O25">
            <v>100</v>
          </cell>
          <cell r="P25">
            <v>100</v>
          </cell>
          <cell r="Q25">
            <v>100</v>
          </cell>
          <cell r="R25">
            <v>100</v>
          </cell>
          <cell r="S25">
            <v>100</v>
          </cell>
          <cell r="T25">
            <v>100</v>
          </cell>
          <cell r="U25">
            <v>100</v>
          </cell>
          <cell r="V25">
            <v>100</v>
          </cell>
          <cell r="W25">
            <v>100</v>
          </cell>
          <cell r="X25">
            <v>100</v>
          </cell>
          <cell r="Y25">
            <v>100</v>
          </cell>
          <cell r="Z25">
            <v>100</v>
          </cell>
          <cell r="AA25">
            <v>100</v>
          </cell>
          <cell r="AB25">
            <v>100</v>
          </cell>
          <cell r="AC25">
            <v>100</v>
          </cell>
          <cell r="AD25">
            <v>100</v>
          </cell>
          <cell r="AE25">
            <v>100</v>
          </cell>
          <cell r="AF25">
            <v>100</v>
          </cell>
          <cell r="AG25">
            <v>100</v>
          </cell>
          <cell r="AH25">
            <v>100</v>
          </cell>
          <cell r="AI25">
            <v>100</v>
          </cell>
          <cell r="AJ25">
            <v>100</v>
          </cell>
          <cell r="AK25">
            <v>100</v>
          </cell>
          <cell r="AL25">
            <v>100</v>
          </cell>
          <cell r="AM25">
            <v>100</v>
          </cell>
          <cell r="AN25">
            <v>100</v>
          </cell>
          <cell r="AO25">
            <v>100</v>
          </cell>
          <cell r="AP25">
            <v>100</v>
          </cell>
        </row>
      </sheetData>
      <sheetData sheetId="14" refreshError="1"/>
      <sheetData sheetId="15">
        <row r="9">
          <cell r="C9">
            <v>1.0495000000000001</v>
          </cell>
        </row>
        <row r="10">
          <cell r="C10">
            <v>1.0452999999999999</v>
          </cell>
        </row>
        <row r="11">
          <cell r="C11">
            <v>1.7492000000000001</v>
          </cell>
        </row>
        <row r="12">
          <cell r="C12">
            <v>1.6760999999999999</v>
          </cell>
        </row>
        <row r="13">
          <cell r="C13">
            <v>0.41980000000000006</v>
          </cell>
        </row>
        <row r="17">
          <cell r="C17">
            <v>3000</v>
          </cell>
        </row>
        <row r="18">
          <cell r="C18">
            <v>0.2</v>
          </cell>
        </row>
        <row r="19">
          <cell r="C19">
            <v>0.1</v>
          </cell>
        </row>
        <row r="20">
          <cell r="C20">
            <v>0.04</v>
          </cell>
        </row>
        <row r="21">
          <cell r="C21">
            <v>2.5000000000000001E-2</v>
          </cell>
        </row>
        <row r="22">
          <cell r="C22">
            <v>0.06</v>
          </cell>
        </row>
        <row r="23">
          <cell r="C23">
            <v>1.6</v>
          </cell>
        </row>
        <row r="30">
          <cell r="C30">
            <v>0.66666666666666663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uções"/>
      <sheetName val="Controle"/>
      <sheetName val="Historico"/>
      <sheetName val="CHECK"/>
      <sheetName val="POP"/>
      <sheetName val="TAR"/>
      <sheetName val="CUS"/>
      <sheetName val="CAP"/>
      <sheetName val="CON"/>
      <sheetName val="ESG"/>
      <sheetName val="FAT"/>
      <sheetName val="Seguros"/>
      <sheetName val="CAP II"/>
      <sheetName val="DES"/>
      <sheetName val="Output Engenharia"/>
      <sheetName val="Cronograma de Obra"/>
      <sheetName val="S01"/>
      <sheetName val="S02"/>
      <sheetName val="S03"/>
      <sheetName val="S04"/>
      <sheetName val="S05"/>
      <sheetName val="S06"/>
      <sheetName val="S07"/>
      <sheetName val="S08"/>
      <sheetName val="S09"/>
      <sheetName val="S10"/>
      <sheetName val="S11"/>
      <sheetName val="S12"/>
      <sheetName val="S13"/>
      <sheetName val="S14"/>
      <sheetName val="S15"/>
      <sheetName val="S16"/>
      <sheetName val="S17"/>
      <sheetName val="S18"/>
      <sheetName val="S19"/>
      <sheetName val="S20"/>
      <sheetName val="S21"/>
      <sheetName val="S22"/>
      <sheetName val="S23"/>
      <sheetName val="S24"/>
      <sheetName val="S25"/>
      <sheetName val="S26"/>
      <sheetName val="S27"/>
      <sheetName val="S28"/>
      <sheetName val="S29"/>
      <sheetName val="S30"/>
      <sheetName val="S31"/>
      <sheetName val="S32"/>
      <sheetName val="S33"/>
      <sheetName val="S34"/>
      <sheetName val="S35"/>
      <sheetName val="S36"/>
      <sheetName val="S37"/>
      <sheetName val="S38"/>
      <sheetName val="S39"/>
      <sheetName val="S40"/>
      <sheetName val="S41"/>
      <sheetName val="S42"/>
      <sheetName val="S43"/>
      <sheetName val="S44"/>
      <sheetName val="S45"/>
      <sheetName val="Consulta SNIS"/>
      <sheetName val="Cobertura Esgoto 2008"/>
    </sheetNames>
    <sheetDataSet>
      <sheetData sheetId="0"/>
      <sheetData sheetId="1">
        <row r="3">
          <cell r="E3">
            <v>0</v>
          </cell>
        </row>
        <row r="4">
          <cell r="E4">
            <v>1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1</v>
          </cell>
        </row>
        <row r="8">
          <cell r="E8">
            <v>1</v>
          </cell>
        </row>
        <row r="9">
          <cell r="E9">
            <v>1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1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1</v>
          </cell>
        </row>
        <row r="16">
          <cell r="E16">
            <v>1</v>
          </cell>
        </row>
        <row r="17">
          <cell r="E17">
            <v>1</v>
          </cell>
        </row>
        <row r="18">
          <cell r="E18">
            <v>1</v>
          </cell>
        </row>
        <row r="19">
          <cell r="E19">
            <v>1</v>
          </cell>
        </row>
        <row r="20">
          <cell r="E20">
            <v>1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1</v>
          </cell>
        </row>
        <row r="25">
          <cell r="E25">
            <v>0</v>
          </cell>
        </row>
        <row r="26">
          <cell r="E26">
            <v>1</v>
          </cell>
        </row>
        <row r="27">
          <cell r="E27">
            <v>1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1</v>
          </cell>
        </row>
        <row r="31">
          <cell r="E31">
            <v>1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Assumptions"/>
      <sheetName val="Financial Summary"/>
      <sheetName val="DCF Analysis"/>
      <sheetName val="Depreciation Schedules"/>
      <sheetName val="Synergy"/>
      <sheetName val="NOL"/>
    </sheetNames>
    <sheetDataSet>
      <sheetData sheetId="0"/>
      <sheetData sheetId="1">
        <row r="6">
          <cell r="C6">
            <v>0.58630136986301373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informaecon-fnp.com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hyperlink" Target="http://www.informaecon-fnp.com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informaecon-fnp.com/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mailto:francisco.fontes@rivulis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65"/>
  <sheetViews>
    <sheetView showGridLines="0" zoomScale="80" zoomScaleNormal="80" workbookViewId="0"/>
  </sheetViews>
  <sheetFormatPr defaultRowHeight="15" x14ac:dyDescent="0.25"/>
  <cols>
    <col min="1" max="1" width="1.85546875" style="3" customWidth="1"/>
    <col min="2" max="2" width="56.7109375" style="3" customWidth="1"/>
    <col min="3" max="3" width="17.85546875" style="3" customWidth="1"/>
    <col min="4" max="8" width="13.7109375" style="3" customWidth="1"/>
    <col min="9" max="9" width="15.28515625" style="3" bestFit="1" customWidth="1"/>
    <col min="10" max="14" width="13.7109375" style="3" customWidth="1"/>
    <col min="15" max="15" width="3" style="3" customWidth="1"/>
    <col min="16" max="16" width="15.85546875" style="3" customWidth="1"/>
    <col min="17" max="17" width="16" style="3" customWidth="1"/>
    <col min="18" max="18" width="10.28515625" style="142" customWidth="1"/>
    <col min="19" max="19" width="14.5703125" style="3" customWidth="1"/>
    <col min="20" max="23" width="3.7109375" style="3" customWidth="1"/>
    <col min="24" max="16384" width="9.140625" style="3"/>
  </cols>
  <sheetData>
    <row r="1" spans="1:40" x14ac:dyDescent="0.25">
      <c r="B1" s="30"/>
      <c r="E1" s="142"/>
      <c r="I1" s="142"/>
      <c r="K1" s="30"/>
      <c r="N1" s="142"/>
    </row>
    <row r="2" spans="1:40" customFormat="1" ht="24.75" x14ac:dyDescent="0.4">
      <c r="A2" s="182"/>
      <c r="B2" s="30"/>
      <c r="C2" s="3"/>
      <c r="D2" s="3"/>
      <c r="E2" s="142"/>
      <c r="F2" s="182"/>
      <c r="G2" s="182"/>
      <c r="H2" s="182"/>
      <c r="I2" s="182"/>
    </row>
    <row r="3" spans="1:40" s="468" customFormat="1" ht="18.75" x14ac:dyDescent="0.3">
      <c r="A3" s="469"/>
      <c r="B3" s="470"/>
      <c r="C3" s="471"/>
      <c r="D3" s="471"/>
      <c r="E3" s="472"/>
      <c r="F3" s="469"/>
      <c r="G3" s="469"/>
      <c r="H3" s="469"/>
      <c r="I3" s="469"/>
    </row>
    <row r="4" spans="1:40" customFormat="1" ht="6" customHeight="1" x14ac:dyDescent="0.25">
      <c r="A4" s="9"/>
      <c r="B4" s="30"/>
      <c r="C4" s="3"/>
      <c r="D4" s="3"/>
      <c r="E4" s="142"/>
      <c r="F4" s="9"/>
    </row>
    <row r="5" spans="1:40" customFormat="1" ht="31.5" customHeight="1" x14ac:dyDescent="0.25">
      <c r="A5" s="9"/>
      <c r="B5" s="68" t="s">
        <v>838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</row>
    <row r="6" spans="1:40" ht="4.5" customHeight="1" thickBot="1" x14ac:dyDescent="0.3">
      <c r="B6" s="67"/>
      <c r="C6" s="67"/>
      <c r="D6" s="67"/>
      <c r="E6" s="67"/>
      <c r="F6" s="67"/>
      <c r="G6" s="67"/>
      <c r="H6" s="67"/>
      <c r="I6" s="67"/>
      <c r="J6" s="70"/>
      <c r="K6" s="67"/>
      <c r="L6" s="67"/>
      <c r="M6" s="67"/>
      <c r="N6" s="67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</row>
    <row r="7" spans="1:40" ht="7.5" customHeight="1" thickTop="1" x14ac:dyDescent="0.25">
      <c r="B7" s="142"/>
      <c r="D7" s="4"/>
      <c r="E7" s="57"/>
      <c r="F7" s="29"/>
      <c r="G7" s="29"/>
      <c r="H7" s="29"/>
      <c r="I7" s="29"/>
      <c r="J7" s="29"/>
      <c r="K7" s="29"/>
      <c r="L7" s="29"/>
      <c r="M7" s="29"/>
      <c r="N7" s="29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</row>
    <row r="8" spans="1:40" ht="23.25" x14ac:dyDescent="0.25">
      <c r="B8" s="103" t="s">
        <v>829</v>
      </c>
      <c r="C8" s="103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</row>
    <row r="9" spans="1:40" x14ac:dyDescent="0.25">
      <c r="B9" s="103" t="s">
        <v>25</v>
      </c>
      <c r="C9" s="103"/>
    </row>
    <row r="10" spans="1:40" ht="9.75" customHeight="1" thickBot="1" x14ac:dyDescent="0.3">
      <c r="B10" s="103"/>
      <c r="C10" s="103"/>
    </row>
    <row r="11" spans="1:40" ht="21.75" customHeight="1" x14ac:dyDescent="0.25">
      <c r="B11" s="63" t="s">
        <v>26</v>
      </c>
      <c r="C11" s="117" t="s">
        <v>96</v>
      </c>
      <c r="D11" s="64" t="s">
        <v>27</v>
      </c>
      <c r="E11" s="98" t="s">
        <v>28</v>
      </c>
      <c r="F11" s="98" t="s">
        <v>29</v>
      </c>
      <c r="G11" s="98" t="s">
        <v>30</v>
      </c>
      <c r="H11" s="98" t="s">
        <v>31</v>
      </c>
      <c r="I11" s="98" t="s">
        <v>32</v>
      </c>
      <c r="J11" s="98" t="s">
        <v>33</v>
      </c>
      <c r="K11" s="98" t="s">
        <v>34</v>
      </c>
      <c r="L11" s="98" t="s">
        <v>35</v>
      </c>
      <c r="M11" s="98" t="s">
        <v>36</v>
      </c>
      <c r="N11" s="99" t="s">
        <v>37</v>
      </c>
      <c r="O11" s="183"/>
    </row>
    <row r="12" spans="1:40" x14ac:dyDescent="0.25">
      <c r="B12" s="59" t="s">
        <v>868</v>
      </c>
      <c r="C12" s="114">
        <f>SUBTOTAL(9,C13)</f>
        <v>19938.67944</v>
      </c>
      <c r="D12" s="100"/>
      <c r="E12" s="101"/>
      <c r="F12" s="101"/>
      <c r="G12" s="101"/>
      <c r="H12" s="101"/>
      <c r="I12" s="101"/>
      <c r="J12" s="101"/>
      <c r="K12" s="101"/>
      <c r="L12" s="101"/>
      <c r="M12" s="101"/>
      <c r="N12" s="102"/>
      <c r="R12" s="460"/>
    </row>
    <row r="13" spans="1:40" x14ac:dyDescent="0.25">
      <c r="B13" s="617" t="s">
        <v>869</v>
      </c>
      <c r="C13" s="619">
        <f>SUM(D13:N13)</f>
        <v>19938.67944</v>
      </c>
      <c r="D13" s="56">
        <v>14642.46771375</v>
      </c>
      <c r="E13" s="89">
        <v>5296.2117262499996</v>
      </c>
      <c r="F13" s="587"/>
      <c r="G13" s="90"/>
      <c r="H13" s="90"/>
      <c r="I13" s="90"/>
      <c r="J13" s="90"/>
      <c r="K13" s="90"/>
      <c r="L13" s="90"/>
      <c r="M13" s="90"/>
      <c r="N13" s="91"/>
      <c r="P13" s="4"/>
      <c r="R13" s="460"/>
    </row>
    <row r="14" spans="1:40" x14ac:dyDescent="0.25">
      <c r="B14" s="618"/>
      <c r="C14" s="620"/>
      <c r="D14" s="588"/>
      <c r="E14" s="589"/>
      <c r="F14" s="94"/>
      <c r="G14" s="94"/>
      <c r="H14" s="94"/>
      <c r="I14" s="94"/>
      <c r="J14" s="94"/>
      <c r="K14" s="94"/>
      <c r="L14" s="94"/>
      <c r="M14" s="94"/>
      <c r="N14" s="95"/>
      <c r="R14" s="460"/>
    </row>
    <row r="15" spans="1:40" x14ac:dyDescent="0.25">
      <c r="B15" s="59" t="s">
        <v>104</v>
      </c>
      <c r="C15" s="114">
        <f>SUBTOTAL(9,C16)</f>
        <v>73724.727629999994</v>
      </c>
      <c r="D15" s="100"/>
      <c r="E15" s="101"/>
      <c r="F15" s="101"/>
      <c r="G15" s="101"/>
      <c r="H15" s="101"/>
      <c r="I15" s="101"/>
      <c r="J15" s="101"/>
      <c r="K15" s="101"/>
      <c r="L15" s="101"/>
      <c r="M15" s="101"/>
      <c r="N15" s="102"/>
    </row>
    <row r="16" spans="1:40" x14ac:dyDescent="0.25">
      <c r="B16" s="617" t="s">
        <v>105</v>
      </c>
      <c r="C16" s="619">
        <f>SUM(D16:N16)</f>
        <v>73724.727629999994</v>
      </c>
      <c r="D16" s="56">
        <v>24574.909209999998</v>
      </c>
      <c r="E16" s="89">
        <v>24574.909209999998</v>
      </c>
      <c r="F16" s="89">
        <v>24574.909209999998</v>
      </c>
      <c r="G16" s="90"/>
      <c r="H16" s="90"/>
      <c r="I16" s="90"/>
      <c r="J16" s="90"/>
      <c r="K16" s="90"/>
      <c r="L16" s="90"/>
      <c r="M16" s="90"/>
      <c r="N16" s="91"/>
      <c r="P16" s="4"/>
    </row>
    <row r="17" spans="2:18" x14ac:dyDescent="0.25">
      <c r="B17" s="618"/>
      <c r="C17" s="620"/>
      <c r="D17" s="92"/>
      <c r="E17" s="93"/>
      <c r="F17" s="93"/>
      <c r="G17" s="94"/>
      <c r="H17" s="94"/>
      <c r="I17" s="94"/>
      <c r="J17" s="94"/>
      <c r="K17" s="94"/>
      <c r="L17" s="94"/>
      <c r="M17" s="94"/>
      <c r="N17" s="95"/>
    </row>
    <row r="18" spans="2:18" x14ac:dyDescent="0.25">
      <c r="B18" s="59" t="s">
        <v>38</v>
      </c>
      <c r="C18" s="114">
        <f>SUBTOTAL(9,C19:C22)</f>
        <v>123345.41460439644</v>
      </c>
      <c r="D18" s="100"/>
      <c r="E18" s="101"/>
      <c r="F18" s="101"/>
      <c r="G18" s="101"/>
      <c r="H18" s="101"/>
      <c r="I18" s="101"/>
      <c r="J18" s="101"/>
      <c r="K18" s="101"/>
      <c r="L18" s="101"/>
      <c r="M18" s="101"/>
      <c r="N18" s="102"/>
    </row>
    <row r="19" spans="2:18" x14ac:dyDescent="0.25">
      <c r="B19" s="618" t="s">
        <v>39</v>
      </c>
      <c r="C19" s="619">
        <f>SUM(D19:N19)</f>
        <v>70935.597140947706</v>
      </c>
      <c r="D19" s="56">
        <v>28374.238856379085</v>
      </c>
      <c r="E19" s="89">
        <v>28374.238856379085</v>
      </c>
      <c r="F19" s="89">
        <v>14187.119428189542</v>
      </c>
      <c r="G19" s="90"/>
      <c r="H19" s="90"/>
      <c r="I19" s="90"/>
      <c r="J19" s="90"/>
      <c r="K19" s="90"/>
      <c r="L19" s="90"/>
      <c r="M19" s="90"/>
      <c r="N19" s="91"/>
      <c r="P19" s="4"/>
    </row>
    <row r="20" spans="2:18" x14ac:dyDescent="0.25">
      <c r="B20" s="626"/>
      <c r="C20" s="620"/>
      <c r="D20" s="92"/>
      <c r="E20" s="93"/>
      <c r="F20" s="93"/>
      <c r="G20" s="94"/>
      <c r="H20" s="94"/>
      <c r="I20" s="94"/>
      <c r="J20" s="94"/>
      <c r="K20" s="94"/>
      <c r="L20" s="94"/>
      <c r="M20" s="94"/>
      <c r="N20" s="95"/>
    </row>
    <row r="21" spans="2:18" x14ac:dyDescent="0.25">
      <c r="B21" s="626" t="s">
        <v>40</v>
      </c>
      <c r="C21" s="619">
        <f>SUM(D21:N21)</f>
        <v>52409.817463448737</v>
      </c>
      <c r="D21" s="87"/>
      <c r="E21" s="90"/>
      <c r="F21" s="90"/>
      <c r="G21" s="89">
        <v>17469.939154482912</v>
      </c>
      <c r="H21" s="89">
        <v>34939.878308965825</v>
      </c>
      <c r="I21" s="90"/>
      <c r="J21" s="90"/>
      <c r="K21" s="90"/>
      <c r="L21" s="90"/>
      <c r="M21" s="90"/>
      <c r="N21" s="91"/>
      <c r="P21" s="4"/>
    </row>
    <row r="22" spans="2:18" x14ac:dyDescent="0.25">
      <c r="B22" s="626"/>
      <c r="C22" s="620"/>
      <c r="D22" s="96"/>
      <c r="E22" s="94"/>
      <c r="F22" s="94"/>
      <c r="G22" s="93"/>
      <c r="H22" s="93"/>
      <c r="I22" s="94"/>
      <c r="J22" s="94"/>
      <c r="K22" s="94"/>
      <c r="L22" s="94"/>
      <c r="M22" s="94"/>
      <c r="N22" s="95"/>
    </row>
    <row r="23" spans="2:18" x14ac:dyDescent="0.25">
      <c r="B23" s="617" t="s">
        <v>830</v>
      </c>
      <c r="C23" s="622">
        <f>SUM(D23:N23)</f>
        <v>28016.772756350572</v>
      </c>
      <c r="D23" s="87"/>
      <c r="E23" s="90"/>
      <c r="F23" s="90"/>
      <c r="G23" s="89">
        <v>28016.772756350572</v>
      </c>
      <c r="H23" s="90"/>
      <c r="I23" s="90"/>
      <c r="J23" s="90"/>
      <c r="K23" s="90"/>
      <c r="L23" s="90"/>
      <c r="M23" s="90"/>
      <c r="N23" s="91"/>
      <c r="O23" s="86"/>
      <c r="R23" s="255"/>
    </row>
    <row r="24" spans="2:18" x14ac:dyDescent="0.25">
      <c r="B24" s="618"/>
      <c r="C24" s="623"/>
      <c r="D24" s="96"/>
      <c r="E24" s="94"/>
      <c r="F24" s="94"/>
      <c r="G24" s="93"/>
      <c r="H24" s="94"/>
      <c r="I24" s="94"/>
      <c r="J24" s="94"/>
      <c r="K24" s="94"/>
      <c r="L24" s="94"/>
      <c r="M24" s="94"/>
      <c r="N24" s="95"/>
      <c r="O24" s="86"/>
      <c r="R24" s="255"/>
    </row>
    <row r="25" spans="2:18" x14ac:dyDescent="0.25">
      <c r="B25" s="59" t="s">
        <v>41</v>
      </c>
      <c r="C25" s="114">
        <f>SUBTOTAL(9,C26:C29)</f>
        <v>16536.715666078933</v>
      </c>
      <c r="D25" s="100"/>
      <c r="E25" s="101"/>
      <c r="F25" s="101"/>
      <c r="G25" s="101"/>
      <c r="H25" s="101"/>
      <c r="I25" s="101"/>
      <c r="J25" s="101"/>
      <c r="K25" s="101"/>
      <c r="L25" s="101"/>
      <c r="M25" s="101"/>
      <c r="N25" s="102"/>
    </row>
    <row r="26" spans="2:18" x14ac:dyDescent="0.25">
      <c r="B26" s="618" t="s">
        <v>831</v>
      </c>
      <c r="C26" s="619">
        <f>SUM(D26:N26)</f>
        <v>1419.5234762632015</v>
      </c>
      <c r="D26" s="87"/>
      <c r="E26" s="90"/>
      <c r="F26" s="89">
        <v>1419.5234762632015</v>
      </c>
      <c r="G26" s="90"/>
      <c r="H26" s="90"/>
      <c r="I26" s="90"/>
      <c r="J26" s="90"/>
      <c r="K26" s="90"/>
      <c r="L26" s="90"/>
      <c r="M26" s="90"/>
      <c r="N26" s="91"/>
      <c r="P26" s="4"/>
    </row>
    <row r="27" spans="2:18" x14ac:dyDescent="0.25">
      <c r="B27" s="626"/>
      <c r="C27" s="620"/>
      <c r="D27" s="96"/>
      <c r="E27" s="94"/>
      <c r="F27" s="93"/>
      <c r="G27" s="94"/>
      <c r="H27" s="94"/>
      <c r="I27" s="94"/>
      <c r="J27" s="94"/>
      <c r="K27" s="94"/>
      <c r="L27" s="94"/>
      <c r="M27" s="94"/>
      <c r="N27" s="95"/>
    </row>
    <row r="28" spans="2:18" x14ac:dyDescent="0.25">
      <c r="B28" s="628" t="s">
        <v>832</v>
      </c>
      <c r="C28" s="619">
        <f>SUM(D28:N28)</f>
        <v>15117.192189815732</v>
      </c>
      <c r="D28" s="87"/>
      <c r="E28" s="90"/>
      <c r="F28" s="90"/>
      <c r="G28" s="90"/>
      <c r="H28" s="89">
        <v>7558.5960949078662</v>
      </c>
      <c r="I28" s="89">
        <v>7558.5960949078662</v>
      </c>
      <c r="J28" s="90"/>
      <c r="K28" s="90"/>
      <c r="L28" s="90"/>
      <c r="M28" s="90"/>
      <c r="N28" s="91"/>
      <c r="P28" s="4"/>
    </row>
    <row r="29" spans="2:18" x14ac:dyDescent="0.25">
      <c r="B29" s="628"/>
      <c r="C29" s="620"/>
      <c r="D29" s="96"/>
      <c r="E29" s="94"/>
      <c r="F29" s="94"/>
      <c r="G29" s="94"/>
      <c r="H29" s="93"/>
      <c r="I29" s="93"/>
      <c r="J29" s="94"/>
      <c r="K29" s="94"/>
      <c r="L29" s="94"/>
      <c r="M29" s="94"/>
      <c r="N29" s="95"/>
    </row>
    <row r="30" spans="2:18" x14ac:dyDescent="0.25">
      <c r="B30" s="624" t="s">
        <v>833</v>
      </c>
      <c r="C30" s="622">
        <f>SUM(D30:N30)</f>
        <v>788.62070688396614</v>
      </c>
      <c r="D30" s="87"/>
      <c r="E30" s="90"/>
      <c r="F30" s="90"/>
      <c r="G30" s="89">
        <v>788.62070688396614</v>
      </c>
      <c r="H30" s="90"/>
      <c r="I30" s="90"/>
      <c r="J30" s="90"/>
      <c r="K30" s="90"/>
      <c r="L30" s="90"/>
      <c r="M30" s="90"/>
      <c r="N30" s="91"/>
      <c r="O30" s="86"/>
      <c r="P30" s="4"/>
      <c r="R30" s="255"/>
    </row>
    <row r="31" spans="2:18" x14ac:dyDescent="0.25">
      <c r="B31" s="625"/>
      <c r="C31" s="623"/>
      <c r="D31" s="96"/>
      <c r="E31" s="94"/>
      <c r="F31" s="94"/>
      <c r="G31" s="93"/>
      <c r="H31" s="94"/>
      <c r="I31" s="94"/>
      <c r="J31" s="94"/>
      <c r="K31" s="94"/>
      <c r="L31" s="94"/>
      <c r="M31" s="94"/>
      <c r="N31" s="95"/>
      <c r="O31" s="86"/>
      <c r="R31" s="255"/>
    </row>
    <row r="32" spans="2:18" x14ac:dyDescent="0.25">
      <c r="B32" s="59" t="s">
        <v>42</v>
      </c>
      <c r="C32" s="114">
        <f>SUBTOTAL(9,C33:C36)</f>
        <v>54805.936123566993</v>
      </c>
      <c r="D32" s="100"/>
      <c r="E32" s="101"/>
      <c r="F32" s="101"/>
      <c r="G32" s="101"/>
      <c r="H32" s="101"/>
      <c r="I32" s="101"/>
      <c r="J32" s="101"/>
      <c r="K32" s="101"/>
      <c r="L32" s="101"/>
      <c r="M32" s="101"/>
      <c r="N32" s="102"/>
    </row>
    <row r="33" spans="2:18" x14ac:dyDescent="0.25">
      <c r="B33" s="618" t="s">
        <v>43</v>
      </c>
      <c r="C33" s="619">
        <f>SUM(D33:N33)</f>
        <v>27402.968061783497</v>
      </c>
      <c r="D33" s="87"/>
      <c r="E33" s="97">
        <v>18268.641685799077</v>
      </c>
      <c r="F33" s="89">
        <v>9134.3263759844212</v>
      </c>
      <c r="G33" s="90"/>
      <c r="H33" s="90"/>
      <c r="I33" s="90"/>
      <c r="J33" s="90"/>
      <c r="K33" s="90"/>
      <c r="L33" s="90"/>
      <c r="M33" s="90"/>
      <c r="N33" s="91"/>
      <c r="P33" s="4"/>
    </row>
    <row r="34" spans="2:18" x14ac:dyDescent="0.25">
      <c r="B34" s="626"/>
      <c r="C34" s="620"/>
      <c r="D34" s="96"/>
      <c r="E34" s="93"/>
      <c r="F34" s="93"/>
      <c r="G34" s="94"/>
      <c r="H34" s="94"/>
      <c r="I34" s="94"/>
      <c r="J34" s="94"/>
      <c r="K34" s="94"/>
      <c r="L34" s="94"/>
      <c r="M34" s="94"/>
      <c r="N34" s="95"/>
      <c r="P34" s="4"/>
    </row>
    <row r="35" spans="2:18" x14ac:dyDescent="0.25">
      <c r="B35" s="624" t="s">
        <v>44</v>
      </c>
      <c r="C35" s="619">
        <f>SUM(D35:N35)</f>
        <v>27402.968061783497</v>
      </c>
      <c r="D35" s="87"/>
      <c r="E35" s="90"/>
      <c r="F35" s="90"/>
      <c r="G35" s="89">
        <v>9134.3263759844212</v>
      </c>
      <c r="H35" s="89">
        <v>18268.641685799077</v>
      </c>
      <c r="I35" s="90"/>
      <c r="J35" s="90"/>
      <c r="K35" s="90"/>
      <c r="L35" s="90"/>
      <c r="M35" s="90"/>
      <c r="N35" s="91"/>
      <c r="P35" s="4"/>
    </row>
    <row r="36" spans="2:18" x14ac:dyDescent="0.25">
      <c r="B36" s="625"/>
      <c r="C36" s="620"/>
      <c r="D36" s="96"/>
      <c r="E36" s="94"/>
      <c r="F36" s="94"/>
      <c r="G36" s="93"/>
      <c r="H36" s="93"/>
      <c r="I36" s="94"/>
      <c r="J36" s="94"/>
      <c r="K36" s="94"/>
      <c r="L36" s="94"/>
      <c r="M36" s="94"/>
      <c r="N36" s="95"/>
      <c r="P36" s="4"/>
    </row>
    <row r="37" spans="2:18" x14ac:dyDescent="0.25">
      <c r="B37" s="59" t="s">
        <v>45</v>
      </c>
      <c r="C37" s="114">
        <f>SUBTOTAL(9,C38:C39)</f>
        <v>8498.4004110014794</v>
      </c>
      <c r="D37" s="100"/>
      <c r="E37" s="101"/>
      <c r="F37" s="101"/>
      <c r="G37" s="101"/>
      <c r="H37" s="101"/>
      <c r="I37" s="101"/>
      <c r="J37" s="101"/>
      <c r="K37" s="101"/>
      <c r="L37" s="101"/>
      <c r="M37" s="101"/>
      <c r="N37" s="102"/>
    </row>
    <row r="38" spans="2:18" x14ac:dyDescent="0.25">
      <c r="B38" s="618" t="s">
        <v>46</v>
      </c>
      <c r="C38" s="619">
        <f>SUM(D38:N38)</f>
        <v>8498.4004110014794</v>
      </c>
      <c r="D38" s="87"/>
      <c r="E38" s="89">
        <v>4249.2002055007397</v>
      </c>
      <c r="F38" s="89">
        <v>4249.2002055007397</v>
      </c>
      <c r="G38" s="90"/>
      <c r="H38" s="90"/>
      <c r="I38" s="90"/>
      <c r="J38" s="90"/>
      <c r="K38" s="90"/>
      <c r="L38" s="90"/>
      <c r="M38" s="90"/>
      <c r="N38" s="91"/>
      <c r="P38" s="4"/>
    </row>
    <row r="39" spans="2:18" x14ac:dyDescent="0.25">
      <c r="B39" s="626"/>
      <c r="C39" s="620"/>
      <c r="D39" s="96"/>
      <c r="E39" s="93"/>
      <c r="F39" s="93"/>
      <c r="G39" s="94"/>
      <c r="H39" s="94"/>
      <c r="I39" s="94"/>
      <c r="J39" s="94"/>
      <c r="K39" s="94"/>
      <c r="L39" s="94"/>
      <c r="M39" s="94"/>
      <c r="N39" s="95"/>
    </row>
    <row r="40" spans="2:18" x14ac:dyDescent="0.25">
      <c r="B40" s="59" t="s">
        <v>47</v>
      </c>
      <c r="C40" s="114">
        <f>SUBTOTAL(9,C41:C44)</f>
        <v>4597.9195189186121</v>
      </c>
      <c r="D40" s="100"/>
      <c r="E40" s="101"/>
      <c r="F40" s="101"/>
      <c r="G40" s="101"/>
      <c r="H40" s="101"/>
      <c r="I40" s="101"/>
      <c r="J40" s="101"/>
      <c r="K40" s="101"/>
      <c r="L40" s="101"/>
      <c r="M40" s="101"/>
      <c r="N40" s="102"/>
    </row>
    <row r="41" spans="2:18" x14ac:dyDescent="0.25">
      <c r="B41" s="618" t="s">
        <v>48</v>
      </c>
      <c r="C41" s="619">
        <f>SUM(D41:N41)</f>
        <v>2418.1464354387672</v>
      </c>
      <c r="D41" s="116">
        <v>967.25857417550696</v>
      </c>
      <c r="E41" s="89">
        <v>967.25857417550696</v>
      </c>
      <c r="F41" s="89">
        <v>483.62928708775348</v>
      </c>
      <c r="G41" s="90"/>
      <c r="H41" s="90"/>
      <c r="I41" s="90"/>
      <c r="J41" s="90"/>
      <c r="K41" s="90"/>
      <c r="L41" s="90"/>
      <c r="M41" s="90"/>
      <c r="N41" s="91"/>
      <c r="P41" s="4"/>
    </row>
    <row r="42" spans="2:18" x14ac:dyDescent="0.25">
      <c r="B42" s="626"/>
      <c r="C42" s="620"/>
      <c r="D42" s="92"/>
      <c r="E42" s="93"/>
      <c r="F42" s="93"/>
      <c r="G42" s="94"/>
      <c r="H42" s="94"/>
      <c r="I42" s="94"/>
      <c r="J42" s="94"/>
      <c r="K42" s="94"/>
      <c r="L42" s="94"/>
      <c r="M42" s="94"/>
      <c r="N42" s="95"/>
    </row>
    <row r="43" spans="2:18" x14ac:dyDescent="0.25">
      <c r="B43" s="626" t="s">
        <v>834</v>
      </c>
      <c r="C43" s="619">
        <f>SUM(D43:N43)</f>
        <v>2179.7730834798449</v>
      </c>
      <c r="D43" s="87"/>
      <c r="E43" s="90"/>
      <c r="F43" s="90"/>
      <c r="G43" s="89">
        <v>726.59430524717209</v>
      </c>
      <c r="H43" s="89">
        <v>1453.1787782326728</v>
      </c>
      <c r="I43" s="90"/>
      <c r="J43" s="90"/>
      <c r="K43" s="90"/>
      <c r="L43" s="90"/>
      <c r="M43" s="90"/>
      <c r="N43" s="91"/>
      <c r="P43" s="4"/>
    </row>
    <row r="44" spans="2:18" x14ac:dyDescent="0.25">
      <c r="B44" s="626"/>
      <c r="C44" s="620"/>
      <c r="D44" s="96"/>
      <c r="E44" s="94"/>
      <c r="F44" s="94"/>
      <c r="G44" s="93"/>
      <c r="H44" s="93"/>
      <c r="I44" s="94"/>
      <c r="J44" s="94"/>
      <c r="K44" s="94"/>
      <c r="L44" s="94"/>
      <c r="M44" s="94"/>
      <c r="N44" s="95"/>
    </row>
    <row r="45" spans="2:18" x14ac:dyDescent="0.25">
      <c r="B45" s="617" t="s">
        <v>49</v>
      </c>
      <c r="C45" s="622">
        <f>SUM(D45:N45)</f>
        <v>1511.366102803408</v>
      </c>
      <c r="D45" s="87"/>
      <c r="E45" s="90"/>
      <c r="F45" s="90"/>
      <c r="G45" s="89">
        <v>1511.366102803408</v>
      </c>
      <c r="H45" s="90"/>
      <c r="I45" s="90"/>
      <c r="J45" s="90"/>
      <c r="K45" s="90"/>
      <c r="L45" s="90"/>
      <c r="M45" s="90"/>
      <c r="N45" s="91"/>
      <c r="O45" s="86"/>
      <c r="P45" s="4"/>
      <c r="R45" s="255"/>
    </row>
    <row r="46" spans="2:18" x14ac:dyDescent="0.25">
      <c r="B46" s="618"/>
      <c r="C46" s="623"/>
      <c r="D46" s="96"/>
      <c r="E46" s="94"/>
      <c r="F46" s="94"/>
      <c r="G46" s="93"/>
      <c r="H46" s="94"/>
      <c r="I46" s="94"/>
      <c r="J46" s="94"/>
      <c r="K46" s="94"/>
      <c r="L46" s="94"/>
      <c r="M46" s="94"/>
      <c r="N46" s="95"/>
      <c r="O46" s="86"/>
      <c r="R46" s="255"/>
    </row>
    <row r="47" spans="2:18" x14ac:dyDescent="0.25">
      <c r="B47" s="111" t="s">
        <v>53</v>
      </c>
      <c r="C47" s="114">
        <f>SUM(D47:N47)</f>
        <v>331764.55296000035</v>
      </c>
      <c r="D47" s="104">
        <f>SUBTOTAL(9,D13:D46)</f>
        <v>68558.874354304586</v>
      </c>
      <c r="E47" s="104">
        <f t="shared" ref="E47:N47" si="0">SUBTOTAL(9,E13:E46)</f>
        <v>81730.460258104402</v>
      </c>
      <c r="F47" s="104">
        <f t="shared" si="0"/>
        <v>54048.707983025655</v>
      </c>
      <c r="G47" s="104">
        <f t="shared" si="0"/>
        <v>57647.619401752454</v>
      </c>
      <c r="H47" s="104">
        <f t="shared" si="0"/>
        <v>62220.294867905439</v>
      </c>
      <c r="I47" s="613">
        <f t="shared" si="0"/>
        <v>7558.5960949078662</v>
      </c>
      <c r="J47" s="602">
        <f t="shared" si="0"/>
        <v>0</v>
      </c>
      <c r="K47" s="104">
        <f t="shared" si="0"/>
        <v>0</v>
      </c>
      <c r="L47" s="104">
        <f t="shared" si="0"/>
        <v>0</v>
      </c>
      <c r="M47" s="104">
        <f t="shared" si="0"/>
        <v>0</v>
      </c>
      <c r="N47" s="105">
        <f t="shared" si="0"/>
        <v>0</v>
      </c>
      <c r="O47" s="184"/>
      <c r="P47" s="185"/>
    </row>
    <row r="48" spans="2:18" x14ac:dyDescent="0.25">
      <c r="B48" s="112" t="s">
        <v>106</v>
      </c>
      <c r="C48" s="115">
        <f t="shared" ref="C48:N48" si="1">C47/$C$47</f>
        <v>1</v>
      </c>
      <c r="D48" s="106">
        <f t="shared" si="1"/>
        <v>0.20664918461789522</v>
      </c>
      <c r="E48" s="106">
        <f t="shared" si="1"/>
        <v>0.24635079163492896</v>
      </c>
      <c r="F48" s="106">
        <f t="shared" si="1"/>
        <v>0.16291284738168552</v>
      </c>
      <c r="G48" s="106">
        <f t="shared" si="1"/>
        <v>0.17376063502692168</v>
      </c>
      <c r="H48" s="106">
        <f t="shared" si="1"/>
        <v>0.1875435284233247</v>
      </c>
      <c r="I48" s="614">
        <f t="shared" si="1"/>
        <v>2.278301291524408E-2</v>
      </c>
      <c r="J48" s="603">
        <f t="shared" si="1"/>
        <v>0</v>
      </c>
      <c r="K48" s="106">
        <f t="shared" si="1"/>
        <v>0</v>
      </c>
      <c r="L48" s="106">
        <f t="shared" si="1"/>
        <v>0</v>
      </c>
      <c r="M48" s="106">
        <f t="shared" si="1"/>
        <v>0</v>
      </c>
      <c r="N48" s="107">
        <f t="shared" si="1"/>
        <v>0</v>
      </c>
      <c r="O48" s="140"/>
      <c r="P48" s="186"/>
    </row>
    <row r="49" spans="2:20" ht="15.75" thickBot="1" x14ac:dyDescent="0.3">
      <c r="B49" s="113"/>
      <c r="C49" s="108"/>
      <c r="D49" s="109">
        <f>D48</f>
        <v>0.20664918461789522</v>
      </c>
      <c r="E49" s="109">
        <f>D49+E48</f>
        <v>0.45299997625282418</v>
      </c>
      <c r="F49" s="109">
        <f t="shared" ref="F49:N49" si="2">E49+F48</f>
        <v>0.61591282363450972</v>
      </c>
      <c r="G49" s="109">
        <f t="shared" si="2"/>
        <v>0.78967345866143135</v>
      </c>
      <c r="H49" s="109">
        <f t="shared" si="2"/>
        <v>0.97721698708475602</v>
      </c>
      <c r="I49" s="615">
        <f t="shared" si="2"/>
        <v>1</v>
      </c>
      <c r="J49" s="604">
        <f t="shared" si="2"/>
        <v>1</v>
      </c>
      <c r="K49" s="109">
        <f t="shared" si="2"/>
        <v>1</v>
      </c>
      <c r="L49" s="109">
        <f t="shared" si="2"/>
        <v>1</v>
      </c>
      <c r="M49" s="109">
        <f t="shared" si="2"/>
        <v>1</v>
      </c>
      <c r="N49" s="110">
        <f t="shared" si="2"/>
        <v>1</v>
      </c>
      <c r="O49" s="140"/>
      <c r="P49" s="186"/>
    </row>
    <row r="50" spans="2:20" ht="8.25" customHeight="1" thickBot="1" x14ac:dyDescent="0.3"/>
    <row r="51" spans="2:20" x14ac:dyDescent="0.25">
      <c r="B51" s="118" t="s">
        <v>50</v>
      </c>
      <c r="C51" s="121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20"/>
      <c r="P51" s="186"/>
      <c r="T51" s="186"/>
    </row>
    <row r="52" spans="2:20" x14ac:dyDescent="0.25">
      <c r="B52" s="621" t="s">
        <v>51</v>
      </c>
      <c r="C52" s="62"/>
      <c r="D52" s="132"/>
      <c r="E52" s="132"/>
      <c r="F52" s="133"/>
      <c r="G52" s="133"/>
      <c r="H52" s="132"/>
      <c r="I52" s="132"/>
      <c r="J52" s="132"/>
      <c r="K52" s="132"/>
      <c r="L52" s="132"/>
      <c r="M52" s="132"/>
      <c r="N52" s="136"/>
      <c r="O52" s="187"/>
      <c r="P52" s="186"/>
      <c r="T52" s="186"/>
    </row>
    <row r="53" spans="2:20" x14ac:dyDescent="0.25">
      <c r="B53" s="621"/>
      <c r="C53" s="85"/>
      <c r="D53" s="134"/>
      <c r="E53" s="134"/>
      <c r="F53" s="465">
        <v>1097.876298394712</v>
      </c>
      <c r="G53" s="466">
        <v>3956.3109852061698</v>
      </c>
      <c r="H53" s="137"/>
      <c r="I53" s="134"/>
      <c r="J53" s="134"/>
      <c r="K53" s="134"/>
      <c r="L53" s="134"/>
      <c r="M53" s="134"/>
      <c r="N53" s="138"/>
      <c r="O53" s="187"/>
      <c r="P53" s="186"/>
      <c r="T53" s="186"/>
    </row>
    <row r="54" spans="2:20" ht="15" customHeight="1" x14ac:dyDescent="0.25">
      <c r="B54" s="627" t="s">
        <v>52</v>
      </c>
      <c r="C54" s="122"/>
      <c r="D54" s="132"/>
      <c r="E54" s="132"/>
      <c r="F54" s="132"/>
      <c r="G54" s="132"/>
      <c r="H54" s="132"/>
      <c r="I54" s="133"/>
      <c r="J54" s="133"/>
      <c r="K54" s="132"/>
      <c r="L54" s="132"/>
      <c r="M54" s="132"/>
      <c r="N54" s="136"/>
      <c r="O54" s="187"/>
      <c r="P54" s="186"/>
      <c r="T54" s="186"/>
    </row>
    <row r="55" spans="2:20" x14ac:dyDescent="0.25">
      <c r="B55" s="627"/>
      <c r="C55" s="123"/>
      <c r="D55" s="134"/>
      <c r="E55" s="134"/>
      <c r="F55" s="134"/>
      <c r="G55" s="134"/>
      <c r="H55" s="134"/>
      <c r="I55" s="465">
        <v>4018.6228832231664</v>
      </c>
      <c r="J55" s="466">
        <v>1251.1833490714509</v>
      </c>
      <c r="K55" s="137"/>
      <c r="L55" s="134"/>
      <c r="M55" s="134"/>
      <c r="N55" s="138"/>
      <c r="O55" s="187"/>
      <c r="P55" s="186"/>
      <c r="T55" s="186"/>
    </row>
    <row r="56" spans="2:20" ht="15" customHeight="1" x14ac:dyDescent="0.25">
      <c r="B56" s="621" t="s">
        <v>835</v>
      </c>
      <c r="C56" s="62"/>
      <c r="D56" s="132"/>
      <c r="E56" s="132"/>
      <c r="F56" s="132"/>
      <c r="G56" s="132"/>
      <c r="H56" s="133"/>
      <c r="I56" s="132"/>
      <c r="J56" s="132"/>
      <c r="K56" s="132"/>
      <c r="L56" s="132"/>
      <c r="M56" s="132"/>
      <c r="N56" s="136"/>
      <c r="O56" s="141"/>
      <c r="Q56" s="88"/>
      <c r="R56" s="53"/>
      <c r="S56" s="14"/>
    </row>
    <row r="57" spans="2:20" x14ac:dyDescent="0.25">
      <c r="B57" s="621"/>
      <c r="C57" s="85"/>
      <c r="D57" s="134"/>
      <c r="E57" s="134"/>
      <c r="F57" s="134"/>
      <c r="G57" s="134"/>
      <c r="H57" s="135">
        <v>2974.1567831287375</v>
      </c>
      <c r="I57" s="137"/>
      <c r="J57" s="134"/>
      <c r="K57" s="134"/>
      <c r="L57" s="134"/>
      <c r="M57" s="134"/>
      <c r="N57" s="138"/>
      <c r="O57" s="141"/>
      <c r="Q57" s="88"/>
      <c r="R57" s="53"/>
      <c r="S57" s="14"/>
    </row>
    <row r="58" spans="2:20" x14ac:dyDescent="0.25">
      <c r="B58" s="124" t="s">
        <v>53</v>
      </c>
      <c r="C58" s="114">
        <f>SUM(D58:N58)</f>
        <v>331764.55296000035</v>
      </c>
      <c r="D58" s="125">
        <f>D47</f>
        <v>68558.874354304586</v>
      </c>
      <c r="E58" s="125">
        <f t="shared" ref="E58:N58" si="3">E47</f>
        <v>81730.460258104402</v>
      </c>
      <c r="F58" s="125">
        <f t="shared" si="3"/>
        <v>54048.707983025655</v>
      </c>
      <c r="G58" s="125">
        <f t="shared" si="3"/>
        <v>57647.619401752454</v>
      </c>
      <c r="H58" s="125">
        <f t="shared" si="3"/>
        <v>62220.294867905439</v>
      </c>
      <c r="I58" s="125">
        <f t="shared" si="3"/>
        <v>7558.5960949078662</v>
      </c>
      <c r="J58" s="125">
        <f t="shared" si="3"/>
        <v>0</v>
      </c>
      <c r="K58" s="125">
        <f t="shared" si="3"/>
        <v>0</v>
      </c>
      <c r="L58" s="125">
        <f t="shared" si="3"/>
        <v>0</v>
      </c>
      <c r="M58" s="125">
        <f t="shared" si="3"/>
        <v>0</v>
      </c>
      <c r="N58" s="126">
        <f t="shared" si="3"/>
        <v>0</v>
      </c>
      <c r="O58" s="184"/>
      <c r="P58" s="186"/>
      <c r="T58" s="186"/>
    </row>
    <row r="59" spans="2:20" x14ac:dyDescent="0.25">
      <c r="B59" s="112" t="s">
        <v>106</v>
      </c>
      <c r="C59" s="115">
        <f>C58/$C$58</f>
        <v>1</v>
      </c>
      <c r="D59" s="130">
        <f t="shared" ref="D59:N59" si="4">D58/$C$58</f>
        <v>0.20664918461789522</v>
      </c>
      <c r="E59" s="130">
        <f t="shared" si="4"/>
        <v>0.24635079163492896</v>
      </c>
      <c r="F59" s="130">
        <f t="shared" si="4"/>
        <v>0.16291284738168552</v>
      </c>
      <c r="G59" s="130">
        <f t="shared" si="4"/>
        <v>0.17376063502692168</v>
      </c>
      <c r="H59" s="130">
        <f t="shared" si="4"/>
        <v>0.1875435284233247</v>
      </c>
      <c r="I59" s="130">
        <f t="shared" si="4"/>
        <v>2.278301291524408E-2</v>
      </c>
      <c r="J59" s="130">
        <f t="shared" si="4"/>
        <v>0</v>
      </c>
      <c r="K59" s="130">
        <f t="shared" si="4"/>
        <v>0</v>
      </c>
      <c r="L59" s="130">
        <f t="shared" si="4"/>
        <v>0</v>
      </c>
      <c r="M59" s="130">
        <f t="shared" si="4"/>
        <v>0</v>
      </c>
      <c r="N59" s="131">
        <f t="shared" si="4"/>
        <v>0</v>
      </c>
      <c r="O59" s="140"/>
      <c r="P59" s="185"/>
    </row>
    <row r="60" spans="2:20" ht="15.75" thickBot="1" x14ac:dyDescent="0.3">
      <c r="B60" s="127" t="s">
        <v>54</v>
      </c>
      <c r="C60" s="139">
        <f>SUM(D60:N60)</f>
        <v>13298.150299024235</v>
      </c>
      <c r="D60" s="128">
        <f>SUM(D52:D57)</f>
        <v>0</v>
      </c>
      <c r="E60" s="128">
        <f t="shared" ref="E60:N60" si="5">SUM(E52:E57)</f>
        <v>0</v>
      </c>
      <c r="F60" s="128">
        <f t="shared" si="5"/>
        <v>1097.876298394712</v>
      </c>
      <c r="G60" s="128">
        <f t="shared" si="5"/>
        <v>3956.3109852061698</v>
      </c>
      <c r="H60" s="128">
        <f t="shared" si="5"/>
        <v>2974.1567831287375</v>
      </c>
      <c r="I60" s="128">
        <f t="shared" si="5"/>
        <v>4018.6228832231664</v>
      </c>
      <c r="J60" s="128">
        <f t="shared" si="5"/>
        <v>1251.1833490714509</v>
      </c>
      <c r="K60" s="128">
        <f t="shared" si="5"/>
        <v>0</v>
      </c>
      <c r="L60" s="128">
        <f t="shared" si="5"/>
        <v>0</v>
      </c>
      <c r="M60" s="128">
        <f t="shared" si="5"/>
        <v>0</v>
      </c>
      <c r="N60" s="129">
        <f t="shared" si="5"/>
        <v>0</v>
      </c>
      <c r="O60" s="188"/>
      <c r="P60" s="186"/>
    </row>
    <row r="62" spans="2:20" x14ac:dyDescent="0.25">
      <c r="B62" s="189" t="s">
        <v>55</v>
      </c>
      <c r="C62" s="189"/>
    </row>
    <row r="63" spans="2:20" x14ac:dyDescent="0.25">
      <c r="B63" s="189" t="s">
        <v>56</v>
      </c>
      <c r="C63" s="189"/>
    </row>
    <row r="64" spans="2:20" x14ac:dyDescent="0.25">
      <c r="B64" s="189" t="s">
        <v>836</v>
      </c>
      <c r="C64" s="189"/>
    </row>
    <row r="65" spans="2:3" x14ac:dyDescent="0.25">
      <c r="B65" s="189"/>
      <c r="C65" s="189"/>
    </row>
  </sheetData>
  <mergeCells count="31">
    <mergeCell ref="B21:B22"/>
    <mergeCell ref="C21:C22"/>
    <mergeCell ref="B16:B17"/>
    <mergeCell ref="C16:C17"/>
    <mergeCell ref="B19:B20"/>
    <mergeCell ref="C19:C20"/>
    <mergeCell ref="C38:C39"/>
    <mergeCell ref="B41:B42"/>
    <mergeCell ref="C41:C42"/>
    <mergeCell ref="B26:B27"/>
    <mergeCell ref="C26:C27"/>
    <mergeCell ref="B28:B29"/>
    <mergeCell ref="C28:C29"/>
    <mergeCell ref="B33:B34"/>
    <mergeCell ref="C33:C34"/>
    <mergeCell ref="B13:B14"/>
    <mergeCell ref="C13:C14"/>
    <mergeCell ref="B56:B57"/>
    <mergeCell ref="B23:B24"/>
    <mergeCell ref="C23:C24"/>
    <mergeCell ref="B30:B31"/>
    <mergeCell ref="C30:C31"/>
    <mergeCell ref="B45:B46"/>
    <mergeCell ref="C45:C46"/>
    <mergeCell ref="B43:B44"/>
    <mergeCell ref="C43:C44"/>
    <mergeCell ref="B52:B53"/>
    <mergeCell ref="B54:B55"/>
    <mergeCell ref="B35:B36"/>
    <mergeCell ref="C35:C36"/>
    <mergeCell ref="B38:B39"/>
  </mergeCells>
  <conditionalFormatting sqref="D1:D7">
    <cfRule type="cellIs" dxfId="5" priority="1" operator="lessThan">
      <formula>0</formula>
    </cfRule>
  </conditionalFormatting>
  <pageMargins left="0.25" right="0.25" top="0.75" bottom="0.75" header="0.3" footer="0.3"/>
  <pageSetup paperSize="9" scale="70" orientation="landscape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L90"/>
  <sheetViews>
    <sheetView showGridLines="0" topLeftCell="A82" workbookViewId="0">
      <selection activeCell="B90" sqref="B90:C90"/>
    </sheetView>
  </sheetViews>
  <sheetFormatPr defaultRowHeight="15" x14ac:dyDescent="0.25"/>
  <cols>
    <col min="1" max="1" width="4.5703125" style="291" customWidth="1"/>
    <col min="2" max="2" width="39.7109375" style="291" customWidth="1"/>
    <col min="3" max="3" width="50.85546875" style="291" customWidth="1"/>
    <col min="4" max="9" width="8.42578125" style="291" customWidth="1"/>
    <col min="10" max="10" width="2.28515625" style="291" customWidth="1"/>
    <col min="11" max="11" width="11.85546875" style="291" customWidth="1"/>
    <col min="12" max="16384" width="9.140625" style="291"/>
  </cols>
  <sheetData>
    <row r="1" spans="2:12" s="338" customFormat="1" x14ac:dyDescent="0.25"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</row>
    <row r="2" spans="2:12" s="338" customFormat="1" x14ac:dyDescent="0.25"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</row>
    <row r="3" spans="2:12" s="262" customFormat="1" ht="26.25" customHeight="1" x14ac:dyDescent="0.25">
      <c r="I3" s="263" t="s">
        <v>490</v>
      </c>
      <c r="L3" s="263"/>
    </row>
    <row r="4" spans="2:12" s="338" customFormat="1" ht="26.25" customHeight="1" x14ac:dyDescent="0.25">
      <c r="B4" s="337"/>
      <c r="C4" s="337"/>
      <c r="D4" s="337"/>
      <c r="E4" s="337"/>
      <c r="F4" s="337"/>
      <c r="G4" s="337"/>
      <c r="H4" s="337"/>
      <c r="I4" s="337"/>
      <c r="J4" s="337"/>
      <c r="K4" s="337"/>
      <c r="L4" s="337"/>
    </row>
    <row r="5" spans="2:12" s="338" customFormat="1" ht="26.25" customHeight="1" x14ac:dyDescent="0.25">
      <c r="B5" s="337"/>
      <c r="C5" s="337"/>
      <c r="D5" s="337"/>
      <c r="E5" s="337"/>
      <c r="F5" s="337"/>
      <c r="G5" s="337"/>
      <c r="H5" s="337"/>
      <c r="I5" s="337"/>
      <c r="J5" s="337"/>
      <c r="K5" s="337"/>
      <c r="L5" s="337"/>
    </row>
    <row r="6" spans="2:12" s="338" customFormat="1" ht="12.2" customHeight="1" x14ac:dyDescent="0.25">
      <c r="B6" s="337"/>
      <c r="C6" s="337"/>
      <c r="D6" s="337"/>
      <c r="E6" s="337"/>
      <c r="F6" s="337"/>
      <c r="G6" s="337"/>
      <c r="H6" s="337"/>
      <c r="I6" s="337"/>
      <c r="J6" s="337"/>
      <c r="K6" s="337"/>
      <c r="L6" s="337"/>
    </row>
    <row r="7" spans="2:12" s="338" customFormat="1" ht="12.2" customHeight="1" x14ac:dyDescent="0.25">
      <c r="B7" s="337"/>
      <c r="C7" s="337"/>
      <c r="D7" s="337"/>
      <c r="E7" s="337"/>
      <c r="F7" s="337"/>
      <c r="G7" s="337"/>
      <c r="H7" s="337"/>
      <c r="I7" s="339" t="s">
        <v>603</v>
      </c>
      <c r="J7" s="337"/>
      <c r="K7" s="337"/>
      <c r="L7" s="337"/>
    </row>
    <row r="8" spans="2:12" s="337" customFormat="1" ht="38.25" customHeight="1" x14ac:dyDescent="0.25">
      <c r="B8" s="684" t="s">
        <v>604</v>
      </c>
      <c r="C8" s="684"/>
      <c r="D8" s="684"/>
      <c r="E8" s="684"/>
      <c r="F8" s="684"/>
      <c r="G8" s="684"/>
      <c r="H8" s="684"/>
      <c r="I8" s="684"/>
    </row>
    <row r="9" spans="2:12" ht="20.25" customHeight="1" x14ac:dyDescent="0.25">
      <c r="B9" s="685" t="s">
        <v>74</v>
      </c>
      <c r="C9" s="685" t="s">
        <v>268</v>
      </c>
      <c r="D9" s="673">
        <v>7800</v>
      </c>
      <c r="E9" s="673"/>
      <c r="F9" s="673"/>
      <c r="G9" s="673">
        <v>8970</v>
      </c>
      <c r="H9" s="673"/>
      <c r="I9" s="673"/>
    </row>
    <row r="10" spans="2:12" ht="16.5" customHeight="1" x14ac:dyDescent="0.25">
      <c r="B10" s="685"/>
      <c r="C10" s="685"/>
      <c r="D10" s="383" t="s">
        <v>269</v>
      </c>
      <c r="E10" s="384" t="s">
        <v>605</v>
      </c>
      <c r="F10" s="384" t="s">
        <v>606</v>
      </c>
      <c r="G10" s="383" t="s">
        <v>269</v>
      </c>
      <c r="H10" s="384" t="s">
        <v>607</v>
      </c>
      <c r="I10" s="384" t="s">
        <v>606</v>
      </c>
    </row>
    <row r="11" spans="2:12" ht="15" customHeight="1" x14ac:dyDescent="0.25">
      <c r="B11" s="682" t="s">
        <v>272</v>
      </c>
      <c r="C11" s="683"/>
      <c r="D11" s="683"/>
      <c r="E11" s="683"/>
      <c r="F11" s="683"/>
      <c r="G11" s="683"/>
      <c r="H11" s="683"/>
      <c r="I11" s="683"/>
    </row>
    <row r="12" spans="2:12" ht="15" customHeight="1" x14ac:dyDescent="0.25">
      <c r="B12" s="316" t="s">
        <v>273</v>
      </c>
      <c r="C12" s="318"/>
      <c r="D12" s="385"/>
      <c r="E12" s="385"/>
      <c r="F12" s="385"/>
      <c r="G12" s="385"/>
      <c r="H12" s="385"/>
      <c r="I12" s="385"/>
    </row>
    <row r="13" spans="2:12" ht="15" customHeight="1" x14ac:dyDescent="0.25">
      <c r="B13" s="304" t="s">
        <v>491</v>
      </c>
      <c r="C13" s="304" t="s">
        <v>608</v>
      </c>
      <c r="D13" s="306">
        <v>205.41</v>
      </c>
      <c r="E13" s="306">
        <v>0.14000000000000001</v>
      </c>
      <c r="F13" s="306">
        <v>28.76</v>
      </c>
      <c r="G13" s="306">
        <v>205.41</v>
      </c>
      <c r="H13" s="306">
        <v>0.14000000000000001</v>
      </c>
      <c r="I13" s="306">
        <v>28.76</v>
      </c>
    </row>
    <row r="14" spans="2:12" ht="15" customHeight="1" x14ac:dyDescent="0.25">
      <c r="B14" s="316" t="s">
        <v>276</v>
      </c>
      <c r="C14" s="318"/>
      <c r="D14" s="385"/>
      <c r="E14" s="385"/>
      <c r="F14" s="385"/>
      <c r="G14" s="385"/>
      <c r="H14" s="385"/>
      <c r="I14" s="385"/>
    </row>
    <row r="15" spans="2:12" ht="15" customHeight="1" x14ac:dyDescent="0.25">
      <c r="B15" s="304" t="s">
        <v>277</v>
      </c>
      <c r="C15" s="304" t="s">
        <v>609</v>
      </c>
      <c r="D15" s="306">
        <v>168.34</v>
      </c>
      <c r="E15" s="306">
        <v>0.1</v>
      </c>
      <c r="F15" s="306">
        <v>16.829999999999998</v>
      </c>
      <c r="G15" s="306">
        <v>168.34</v>
      </c>
      <c r="H15" s="306">
        <v>0.1</v>
      </c>
      <c r="I15" s="306">
        <v>16.829999999999998</v>
      </c>
    </row>
    <row r="16" spans="2:12" ht="15" customHeight="1" x14ac:dyDescent="0.25">
      <c r="B16" s="308" t="s">
        <v>288</v>
      </c>
      <c r="C16" s="308" t="s">
        <v>289</v>
      </c>
      <c r="D16" s="317">
        <v>7.65</v>
      </c>
      <c r="E16" s="317">
        <v>0.1</v>
      </c>
      <c r="F16" s="317">
        <v>0.76</v>
      </c>
      <c r="G16" s="317">
        <v>7.65</v>
      </c>
      <c r="H16" s="317">
        <v>0.1</v>
      </c>
      <c r="I16" s="317">
        <v>0.76</v>
      </c>
    </row>
    <row r="17" spans="2:11" ht="15" customHeight="1" x14ac:dyDescent="0.25">
      <c r="B17" s="304" t="s">
        <v>290</v>
      </c>
      <c r="C17" s="304" t="s">
        <v>291</v>
      </c>
      <c r="D17" s="306">
        <v>142.41</v>
      </c>
      <c r="E17" s="306">
        <v>0.1</v>
      </c>
      <c r="F17" s="306">
        <v>14.24</v>
      </c>
      <c r="G17" s="306">
        <v>142.41</v>
      </c>
      <c r="H17" s="306">
        <v>0.1</v>
      </c>
      <c r="I17" s="306">
        <v>14.24</v>
      </c>
    </row>
    <row r="18" spans="2:11" ht="15" customHeight="1" x14ac:dyDescent="0.25">
      <c r="B18" s="316" t="s">
        <v>292</v>
      </c>
      <c r="C18" s="318"/>
      <c r="D18" s="385"/>
      <c r="E18" s="385"/>
      <c r="F18" s="385"/>
      <c r="G18" s="385"/>
      <c r="H18" s="385"/>
      <c r="I18" s="385"/>
    </row>
    <row r="19" spans="2:11" ht="15" customHeight="1" x14ac:dyDescent="0.25">
      <c r="B19" s="304" t="s">
        <v>420</v>
      </c>
      <c r="C19" s="304" t="s">
        <v>610</v>
      </c>
      <c r="D19" s="306">
        <v>305.13</v>
      </c>
      <c r="E19" s="306">
        <v>0.2</v>
      </c>
      <c r="F19" s="306">
        <v>61.03</v>
      </c>
      <c r="G19" s="306">
        <v>305.13</v>
      </c>
      <c r="H19" s="306">
        <v>0.2</v>
      </c>
      <c r="I19" s="306">
        <v>61.03</v>
      </c>
    </row>
    <row r="20" spans="2:11" ht="15" customHeight="1" x14ac:dyDescent="0.25">
      <c r="B20" s="308" t="s">
        <v>295</v>
      </c>
      <c r="C20" s="308" t="s">
        <v>296</v>
      </c>
      <c r="D20" s="317">
        <v>15.14</v>
      </c>
      <c r="E20" s="317">
        <v>0.1</v>
      </c>
      <c r="F20" s="317">
        <v>1.51</v>
      </c>
      <c r="G20" s="317">
        <v>15.14</v>
      </c>
      <c r="H20" s="317">
        <v>0.1</v>
      </c>
      <c r="I20" s="317">
        <v>1.51</v>
      </c>
    </row>
    <row r="21" spans="2:11" ht="15" customHeight="1" x14ac:dyDescent="0.25">
      <c r="B21" s="304" t="s">
        <v>288</v>
      </c>
      <c r="C21" s="304" t="s">
        <v>289</v>
      </c>
      <c r="D21" s="306">
        <v>7.65</v>
      </c>
      <c r="E21" s="306">
        <v>0.4</v>
      </c>
      <c r="F21" s="306">
        <v>3.06</v>
      </c>
      <c r="G21" s="306">
        <v>7.65</v>
      </c>
      <c r="H21" s="306">
        <v>0.4</v>
      </c>
      <c r="I21" s="306">
        <v>3.06</v>
      </c>
    </row>
    <row r="22" spans="2:11" ht="15" customHeight="1" x14ac:dyDescent="0.25">
      <c r="B22" s="308" t="s">
        <v>290</v>
      </c>
      <c r="C22" s="308" t="s">
        <v>291</v>
      </c>
      <c r="D22" s="317">
        <v>142.41</v>
      </c>
      <c r="E22" s="317">
        <v>0.15</v>
      </c>
      <c r="F22" s="317">
        <v>21.36</v>
      </c>
      <c r="G22" s="317">
        <v>142.41</v>
      </c>
      <c r="H22" s="317">
        <v>0.15</v>
      </c>
      <c r="I22" s="317">
        <v>21.36</v>
      </c>
    </row>
    <row r="23" spans="2:11" ht="15" customHeight="1" x14ac:dyDescent="0.25">
      <c r="B23" s="312" t="s">
        <v>297</v>
      </c>
      <c r="C23" s="321"/>
      <c r="D23" s="386"/>
      <c r="E23" s="386"/>
      <c r="F23" s="386"/>
      <c r="G23" s="386"/>
      <c r="H23" s="386"/>
      <c r="I23" s="386"/>
    </row>
    <row r="24" spans="2:11" ht="15" customHeight="1" x14ac:dyDescent="0.25">
      <c r="B24" s="308" t="s">
        <v>298</v>
      </c>
      <c r="C24" s="308" t="s">
        <v>611</v>
      </c>
      <c r="D24" s="317">
        <v>112.47</v>
      </c>
      <c r="E24" s="317">
        <v>0.22</v>
      </c>
      <c r="F24" s="317">
        <v>24.74</v>
      </c>
      <c r="G24" s="317">
        <v>112.47</v>
      </c>
      <c r="H24" s="317">
        <v>0.22</v>
      </c>
      <c r="I24" s="317">
        <v>24.74</v>
      </c>
    </row>
    <row r="25" spans="2:11" ht="15" customHeight="1" x14ac:dyDescent="0.25">
      <c r="B25" s="304" t="s">
        <v>612</v>
      </c>
      <c r="C25" s="304" t="s">
        <v>613</v>
      </c>
      <c r="D25" s="306">
        <v>235.36</v>
      </c>
      <c r="E25" s="306">
        <v>0.3</v>
      </c>
      <c r="F25" s="306">
        <v>70.61</v>
      </c>
      <c r="G25" s="306">
        <v>235.36</v>
      </c>
      <c r="H25" s="306">
        <v>0.25</v>
      </c>
      <c r="I25" s="306">
        <v>58.84</v>
      </c>
      <c r="K25" s="666" t="s">
        <v>22</v>
      </c>
    </row>
    <row r="26" spans="2:11" ht="15" customHeight="1" x14ac:dyDescent="0.25">
      <c r="B26" s="308" t="s">
        <v>614</v>
      </c>
      <c r="C26" s="308" t="s">
        <v>289</v>
      </c>
      <c r="D26" s="317">
        <v>7.65</v>
      </c>
      <c r="E26" s="317">
        <v>0.1</v>
      </c>
      <c r="F26" s="317">
        <v>0.76</v>
      </c>
      <c r="G26" s="317">
        <v>7.65</v>
      </c>
      <c r="H26" s="317">
        <v>0.1</v>
      </c>
      <c r="I26" s="317">
        <v>0.76</v>
      </c>
      <c r="K26" s="666"/>
    </row>
    <row r="27" spans="2:11" ht="15" customHeight="1" x14ac:dyDescent="0.25">
      <c r="B27" s="304" t="s">
        <v>288</v>
      </c>
      <c r="C27" s="304" t="s">
        <v>289</v>
      </c>
      <c r="D27" s="306">
        <v>7.65</v>
      </c>
      <c r="E27" s="306">
        <v>0.65</v>
      </c>
      <c r="F27" s="306">
        <v>4.97</v>
      </c>
      <c r="G27" s="306">
        <v>7.65</v>
      </c>
      <c r="H27" s="306">
        <v>0.65</v>
      </c>
      <c r="I27" s="306">
        <v>4.97</v>
      </c>
      <c r="K27" s="666"/>
    </row>
    <row r="28" spans="2:11" ht="15" customHeight="1" x14ac:dyDescent="0.25">
      <c r="B28" s="308" t="s">
        <v>290</v>
      </c>
      <c r="C28" s="308" t="s">
        <v>291</v>
      </c>
      <c r="D28" s="317">
        <v>142.41</v>
      </c>
      <c r="E28" s="317">
        <v>0.2</v>
      </c>
      <c r="F28" s="317">
        <v>28.48</v>
      </c>
      <c r="G28" s="317">
        <v>142.41</v>
      </c>
      <c r="H28" s="317">
        <v>0.2</v>
      </c>
      <c r="I28" s="317">
        <v>28.48</v>
      </c>
      <c r="K28" s="666"/>
    </row>
    <row r="29" spans="2:11" ht="15" customHeight="1" x14ac:dyDescent="0.25">
      <c r="B29" s="312" t="s">
        <v>306</v>
      </c>
      <c r="C29" s="321"/>
      <c r="D29" s="386"/>
      <c r="E29" s="386"/>
      <c r="F29" s="386"/>
      <c r="G29" s="386"/>
      <c r="H29" s="386"/>
      <c r="I29" s="386"/>
      <c r="K29" s="666"/>
    </row>
    <row r="30" spans="2:11" ht="15" customHeight="1" x14ac:dyDescent="0.25">
      <c r="B30" s="308" t="s">
        <v>307</v>
      </c>
      <c r="C30" s="308" t="s">
        <v>615</v>
      </c>
      <c r="D30" s="317">
        <v>503.41</v>
      </c>
      <c r="E30" s="317">
        <v>0.28000000000000003</v>
      </c>
      <c r="F30" s="317">
        <v>140.94999999999999</v>
      </c>
      <c r="G30" s="317">
        <v>503.41</v>
      </c>
      <c r="H30" s="317">
        <v>0.28000000000000003</v>
      </c>
      <c r="I30" s="317">
        <v>140.94999999999999</v>
      </c>
      <c r="K30" s="666"/>
    </row>
    <row r="31" spans="2:11" ht="15" customHeight="1" x14ac:dyDescent="0.25">
      <c r="B31" s="304" t="s">
        <v>288</v>
      </c>
      <c r="C31" s="304" t="s">
        <v>289</v>
      </c>
      <c r="D31" s="306">
        <v>7.65</v>
      </c>
      <c r="E31" s="306">
        <v>0.2</v>
      </c>
      <c r="F31" s="306">
        <v>1.53</v>
      </c>
      <c r="G31" s="306">
        <v>7.65</v>
      </c>
      <c r="H31" s="306">
        <v>0.2</v>
      </c>
      <c r="I31" s="306">
        <v>1.53</v>
      </c>
      <c r="K31" s="666"/>
    </row>
    <row r="32" spans="2:11" ht="15" customHeight="1" x14ac:dyDescent="0.25">
      <c r="B32" s="308" t="s">
        <v>290</v>
      </c>
      <c r="C32" s="308" t="s">
        <v>291</v>
      </c>
      <c r="D32" s="317">
        <v>142.41</v>
      </c>
      <c r="E32" s="317">
        <v>0.05</v>
      </c>
      <c r="F32" s="317">
        <v>7.12</v>
      </c>
      <c r="G32" s="317">
        <v>142.41</v>
      </c>
      <c r="H32" s="317">
        <v>0.05</v>
      </c>
      <c r="I32" s="317">
        <v>7.12</v>
      </c>
      <c r="K32" s="666"/>
    </row>
    <row r="33" spans="2:11" ht="15" customHeight="1" x14ac:dyDescent="0.25">
      <c r="B33" s="312" t="s">
        <v>616</v>
      </c>
      <c r="C33" s="321"/>
      <c r="D33" s="386"/>
      <c r="E33" s="386"/>
      <c r="F33" s="320">
        <v>426.74</v>
      </c>
      <c r="G33" s="386"/>
      <c r="H33" s="386"/>
      <c r="I33" s="320">
        <v>414.97</v>
      </c>
      <c r="K33" s="666"/>
    </row>
    <row r="34" spans="2:11" ht="15" customHeight="1" x14ac:dyDescent="0.25">
      <c r="B34" s="682" t="s">
        <v>494</v>
      </c>
      <c r="C34" s="683"/>
      <c r="D34" s="683"/>
      <c r="E34" s="683"/>
      <c r="F34" s="683"/>
      <c r="G34" s="683"/>
      <c r="H34" s="683"/>
      <c r="I34" s="683"/>
      <c r="K34" s="666"/>
    </row>
    <row r="35" spans="2:11" ht="15" customHeight="1" x14ac:dyDescent="0.25">
      <c r="B35" s="312" t="s">
        <v>318</v>
      </c>
      <c r="C35" s="321"/>
      <c r="D35" s="386"/>
      <c r="E35" s="386"/>
      <c r="F35" s="320"/>
      <c r="G35" s="386"/>
      <c r="H35" s="386"/>
      <c r="I35" s="320"/>
      <c r="K35" s="666"/>
    </row>
    <row r="36" spans="2:11" ht="15" customHeight="1" x14ac:dyDescent="0.25">
      <c r="B36" s="308" t="s">
        <v>617</v>
      </c>
      <c r="C36" s="308" t="s">
        <v>320</v>
      </c>
      <c r="D36" s="317">
        <v>217.93</v>
      </c>
      <c r="E36" s="317">
        <v>0.3</v>
      </c>
      <c r="F36" s="317">
        <v>65.38</v>
      </c>
      <c r="G36" s="317">
        <v>217.93</v>
      </c>
      <c r="H36" s="317">
        <v>0.3</v>
      </c>
      <c r="I36" s="317">
        <v>65.38</v>
      </c>
    </row>
    <row r="37" spans="2:11" ht="15" customHeight="1" x14ac:dyDescent="0.25">
      <c r="B37" s="304" t="s">
        <v>440</v>
      </c>
      <c r="C37" s="304" t="s">
        <v>320</v>
      </c>
      <c r="D37" s="306">
        <v>1270</v>
      </c>
      <c r="E37" s="306">
        <v>0.45</v>
      </c>
      <c r="F37" s="306">
        <v>571.5</v>
      </c>
      <c r="G37" s="306">
        <v>1270</v>
      </c>
      <c r="H37" s="306">
        <v>0.45</v>
      </c>
      <c r="I37" s="306">
        <v>571.5</v>
      </c>
    </row>
    <row r="38" spans="2:11" ht="15" customHeight="1" x14ac:dyDescent="0.25">
      <c r="B38" s="308" t="s">
        <v>618</v>
      </c>
      <c r="C38" s="308" t="s">
        <v>320</v>
      </c>
      <c r="D38" s="317">
        <v>1780</v>
      </c>
      <c r="E38" s="317">
        <v>0.2</v>
      </c>
      <c r="F38" s="317">
        <v>356</v>
      </c>
      <c r="G38" s="317">
        <v>1780</v>
      </c>
      <c r="H38" s="317">
        <v>0.2</v>
      </c>
      <c r="I38" s="317">
        <v>356</v>
      </c>
    </row>
    <row r="39" spans="2:11" ht="15" customHeight="1" x14ac:dyDescent="0.25">
      <c r="B39" s="304" t="s">
        <v>322</v>
      </c>
      <c r="C39" s="304" t="s">
        <v>320</v>
      </c>
      <c r="D39" s="306">
        <v>1902</v>
      </c>
      <c r="E39" s="306">
        <v>0.1</v>
      </c>
      <c r="F39" s="306">
        <v>190.2</v>
      </c>
      <c r="G39" s="306">
        <v>1902</v>
      </c>
      <c r="H39" s="306">
        <v>0.1</v>
      </c>
      <c r="I39" s="306">
        <v>190.2</v>
      </c>
    </row>
    <row r="40" spans="2:11" ht="15" customHeight="1" x14ac:dyDescent="0.25">
      <c r="B40" s="316" t="s">
        <v>495</v>
      </c>
      <c r="C40" s="318"/>
      <c r="D40" s="385"/>
      <c r="E40" s="385"/>
      <c r="F40" s="387"/>
      <c r="G40" s="385"/>
      <c r="H40" s="385"/>
      <c r="I40" s="387"/>
    </row>
    <row r="41" spans="2:11" ht="15" customHeight="1" x14ac:dyDescent="0.25">
      <c r="B41" s="304" t="s">
        <v>496</v>
      </c>
      <c r="C41" s="304" t="s">
        <v>619</v>
      </c>
      <c r="D41" s="306">
        <v>457</v>
      </c>
      <c r="E41" s="306">
        <v>1</v>
      </c>
      <c r="F41" s="306">
        <v>457</v>
      </c>
      <c r="G41" s="306">
        <v>634</v>
      </c>
      <c r="H41" s="306">
        <v>1</v>
      </c>
      <c r="I41" s="306">
        <v>634</v>
      </c>
    </row>
    <row r="42" spans="2:11" ht="15" customHeight="1" x14ac:dyDescent="0.25">
      <c r="B42" s="316" t="s">
        <v>327</v>
      </c>
      <c r="C42" s="318"/>
      <c r="D42" s="385"/>
      <c r="E42" s="385"/>
      <c r="F42" s="387"/>
      <c r="G42" s="385"/>
      <c r="H42" s="385"/>
      <c r="I42" s="387"/>
    </row>
    <row r="43" spans="2:11" ht="15" customHeight="1" x14ac:dyDescent="0.25">
      <c r="B43" s="304" t="s">
        <v>620</v>
      </c>
      <c r="C43" s="307" t="s">
        <v>326</v>
      </c>
      <c r="D43" s="306">
        <v>8.5500000000000007</v>
      </c>
      <c r="E43" s="306">
        <v>0.5</v>
      </c>
      <c r="F43" s="306">
        <v>4.28</v>
      </c>
      <c r="G43" s="306">
        <v>8.5500000000000007</v>
      </c>
      <c r="H43" s="306">
        <v>0.5</v>
      </c>
      <c r="I43" s="306">
        <v>4.28</v>
      </c>
    </row>
    <row r="44" spans="2:11" ht="15" customHeight="1" x14ac:dyDescent="0.25">
      <c r="B44" s="308" t="s">
        <v>331</v>
      </c>
      <c r="C44" s="308" t="s">
        <v>329</v>
      </c>
      <c r="D44" s="317">
        <v>13.06</v>
      </c>
      <c r="E44" s="317">
        <v>6.5</v>
      </c>
      <c r="F44" s="317">
        <v>84.9</v>
      </c>
      <c r="G44" s="317">
        <v>13.06</v>
      </c>
      <c r="H44" s="317">
        <v>9</v>
      </c>
      <c r="I44" s="317">
        <v>114.11</v>
      </c>
    </row>
    <row r="45" spans="2:11" ht="15" customHeight="1" x14ac:dyDescent="0.25">
      <c r="B45" s="304" t="s">
        <v>332</v>
      </c>
      <c r="C45" s="304" t="s">
        <v>329</v>
      </c>
      <c r="D45" s="306">
        <v>91.55</v>
      </c>
      <c r="E45" s="306">
        <v>1.2</v>
      </c>
      <c r="F45" s="306">
        <v>109.86</v>
      </c>
      <c r="G45" s="306">
        <v>91.55</v>
      </c>
      <c r="H45" s="306">
        <v>1.2</v>
      </c>
      <c r="I45" s="306">
        <v>109.86</v>
      </c>
    </row>
    <row r="46" spans="2:11" ht="15" customHeight="1" x14ac:dyDescent="0.25">
      <c r="B46" s="308" t="s">
        <v>330</v>
      </c>
      <c r="C46" s="310"/>
      <c r="D46" s="317">
        <v>139.68</v>
      </c>
      <c r="E46" s="317">
        <v>0.68</v>
      </c>
      <c r="F46" s="317">
        <v>94.98</v>
      </c>
      <c r="G46" s="317">
        <v>139.68</v>
      </c>
      <c r="H46" s="317">
        <v>0.68</v>
      </c>
      <c r="I46" s="317">
        <v>94.98</v>
      </c>
    </row>
    <row r="47" spans="2:11" ht="15" customHeight="1" x14ac:dyDescent="0.25">
      <c r="B47" s="304" t="s">
        <v>621</v>
      </c>
      <c r="C47" s="304" t="s">
        <v>329</v>
      </c>
      <c r="D47" s="306">
        <v>9.65</v>
      </c>
      <c r="E47" s="306">
        <v>2.5</v>
      </c>
      <c r="F47" s="306">
        <v>24.13</v>
      </c>
      <c r="G47" s="306">
        <v>9.65</v>
      </c>
      <c r="H47" s="306">
        <v>2.5</v>
      </c>
      <c r="I47" s="306">
        <v>24.13</v>
      </c>
    </row>
    <row r="48" spans="2:11" ht="15" customHeight="1" x14ac:dyDescent="0.25">
      <c r="B48" s="312" t="s">
        <v>622</v>
      </c>
      <c r="C48" s="321"/>
      <c r="D48" s="320"/>
      <c r="E48" s="386"/>
      <c r="F48" s="320">
        <v>1958.22</v>
      </c>
      <c r="G48" s="386"/>
      <c r="H48" s="386"/>
      <c r="I48" s="320">
        <v>2164.4299999999998</v>
      </c>
    </row>
    <row r="49" spans="2:9" ht="15" customHeight="1" x14ac:dyDescent="0.25">
      <c r="B49" s="682" t="s">
        <v>623</v>
      </c>
      <c r="C49" s="683"/>
      <c r="D49" s="683"/>
      <c r="E49" s="683"/>
      <c r="F49" s="683"/>
      <c r="G49" s="683"/>
      <c r="H49" s="683"/>
      <c r="I49" s="683"/>
    </row>
    <row r="50" spans="2:9" ht="15" customHeight="1" x14ac:dyDescent="0.25">
      <c r="B50" s="308" t="s">
        <v>337</v>
      </c>
      <c r="C50" s="308" t="s">
        <v>58</v>
      </c>
      <c r="D50" s="317">
        <v>37.43</v>
      </c>
      <c r="E50" s="317">
        <v>1</v>
      </c>
      <c r="F50" s="317">
        <v>37.43</v>
      </c>
      <c r="G50" s="317">
        <v>37.43</v>
      </c>
      <c r="H50" s="317">
        <v>1</v>
      </c>
      <c r="I50" s="317">
        <v>37.43</v>
      </c>
    </row>
    <row r="51" spans="2:9" ht="15" customHeight="1" x14ac:dyDescent="0.25">
      <c r="B51" s="304" t="s">
        <v>338</v>
      </c>
      <c r="C51" s="304" t="s">
        <v>58</v>
      </c>
      <c r="D51" s="306">
        <v>24.95</v>
      </c>
      <c r="E51" s="306">
        <v>1</v>
      </c>
      <c r="F51" s="306">
        <v>24.95</v>
      </c>
      <c r="G51" s="306">
        <v>24.95</v>
      </c>
      <c r="H51" s="306">
        <v>1</v>
      </c>
      <c r="I51" s="306">
        <v>24.95</v>
      </c>
    </row>
    <row r="52" spans="2:9" ht="15" customHeight="1" x14ac:dyDescent="0.25">
      <c r="B52" s="308" t="s">
        <v>339</v>
      </c>
      <c r="C52" s="308" t="s">
        <v>58</v>
      </c>
      <c r="D52" s="317">
        <v>8.32</v>
      </c>
      <c r="E52" s="317">
        <v>1</v>
      </c>
      <c r="F52" s="317">
        <v>8.32</v>
      </c>
      <c r="G52" s="317">
        <v>8.32</v>
      </c>
      <c r="H52" s="317">
        <v>1</v>
      </c>
      <c r="I52" s="317">
        <v>8.32</v>
      </c>
    </row>
    <row r="53" spans="2:9" ht="15" customHeight="1" x14ac:dyDescent="0.25">
      <c r="B53" s="304" t="s">
        <v>465</v>
      </c>
      <c r="C53" s="304" t="s">
        <v>58</v>
      </c>
      <c r="D53" s="306">
        <v>12.48</v>
      </c>
      <c r="E53" s="306">
        <v>1</v>
      </c>
      <c r="F53" s="306">
        <v>12.48</v>
      </c>
      <c r="G53" s="306">
        <v>12.48</v>
      </c>
      <c r="H53" s="306">
        <v>1</v>
      </c>
      <c r="I53" s="306">
        <v>12.48</v>
      </c>
    </row>
    <row r="54" spans="2:9" ht="15" customHeight="1" x14ac:dyDescent="0.25">
      <c r="B54" s="308" t="s">
        <v>466</v>
      </c>
      <c r="C54" s="308" t="s">
        <v>58</v>
      </c>
      <c r="D54" s="317">
        <v>6.59</v>
      </c>
      <c r="E54" s="317">
        <v>1</v>
      </c>
      <c r="F54" s="317">
        <v>6.59</v>
      </c>
      <c r="G54" s="317">
        <v>6.59</v>
      </c>
      <c r="H54" s="317">
        <v>1</v>
      </c>
      <c r="I54" s="317">
        <v>6.59</v>
      </c>
    </row>
    <row r="55" spans="2:9" ht="15" customHeight="1" x14ac:dyDescent="0.25">
      <c r="B55" s="304" t="s">
        <v>342</v>
      </c>
      <c r="C55" s="304" t="s">
        <v>58</v>
      </c>
      <c r="D55" s="306">
        <v>37.57</v>
      </c>
      <c r="E55" s="306">
        <v>1</v>
      </c>
      <c r="F55" s="306">
        <v>37.57</v>
      </c>
      <c r="G55" s="306">
        <v>37.57</v>
      </c>
      <c r="H55" s="306">
        <v>1</v>
      </c>
      <c r="I55" s="306">
        <v>37.57</v>
      </c>
    </row>
    <row r="56" spans="2:9" ht="15" customHeight="1" x14ac:dyDescent="0.25">
      <c r="B56" s="308" t="s">
        <v>592</v>
      </c>
      <c r="C56" s="308" t="s">
        <v>591</v>
      </c>
      <c r="D56" s="388">
        <v>1.7999999999999999E-2</v>
      </c>
      <c r="E56" s="317"/>
      <c r="F56" s="317">
        <v>67.86</v>
      </c>
      <c r="G56" s="388">
        <v>1.7999999999999999E-2</v>
      </c>
      <c r="H56" s="317">
        <v>1</v>
      </c>
      <c r="I56" s="317">
        <v>78.040000000000006</v>
      </c>
    </row>
    <row r="57" spans="2:9" ht="15" customHeight="1" x14ac:dyDescent="0.25">
      <c r="B57" s="312" t="s">
        <v>624</v>
      </c>
      <c r="C57" s="321"/>
      <c r="D57" s="386"/>
      <c r="E57" s="386"/>
      <c r="F57" s="320">
        <v>195.19</v>
      </c>
      <c r="G57" s="386"/>
      <c r="H57" s="386"/>
      <c r="I57" s="320">
        <v>205.37</v>
      </c>
    </row>
    <row r="58" spans="2:9" ht="15" customHeight="1" x14ac:dyDescent="0.25">
      <c r="B58" s="682" t="s">
        <v>625</v>
      </c>
      <c r="C58" s="683"/>
      <c r="D58" s="683"/>
      <c r="E58" s="683"/>
      <c r="F58" s="683"/>
      <c r="G58" s="683"/>
      <c r="H58" s="683"/>
      <c r="I58" s="683"/>
    </row>
    <row r="59" spans="2:9" ht="15" customHeight="1" x14ac:dyDescent="0.25">
      <c r="B59" s="304" t="s">
        <v>499</v>
      </c>
      <c r="C59" s="304" t="s">
        <v>320</v>
      </c>
      <c r="D59" s="306">
        <v>25</v>
      </c>
      <c r="E59" s="306">
        <v>7.8</v>
      </c>
      <c r="F59" s="306">
        <v>195</v>
      </c>
      <c r="G59" s="306">
        <v>25</v>
      </c>
      <c r="H59" s="306">
        <v>8.9700000000000006</v>
      </c>
      <c r="I59" s="306">
        <v>224.25</v>
      </c>
    </row>
    <row r="60" spans="2:9" ht="15" customHeight="1" x14ac:dyDescent="0.25">
      <c r="B60" s="308" t="s">
        <v>626</v>
      </c>
      <c r="C60" s="308" t="s">
        <v>320</v>
      </c>
      <c r="D60" s="317">
        <v>30.67</v>
      </c>
      <c r="E60" s="317">
        <v>7.8</v>
      </c>
      <c r="F60" s="317">
        <v>239.2</v>
      </c>
      <c r="G60" s="317">
        <v>30.67</v>
      </c>
      <c r="H60" s="317">
        <v>8.9700000000000006</v>
      </c>
      <c r="I60" s="317">
        <v>275.08</v>
      </c>
    </row>
    <row r="61" spans="2:9" ht="15" customHeight="1" x14ac:dyDescent="0.25">
      <c r="B61" s="304" t="s">
        <v>627</v>
      </c>
      <c r="C61" s="304" t="s">
        <v>320</v>
      </c>
      <c r="D61" s="306">
        <v>9</v>
      </c>
      <c r="E61" s="306">
        <v>7.8</v>
      </c>
      <c r="F61" s="306">
        <v>70.2</v>
      </c>
      <c r="G61" s="306">
        <v>9</v>
      </c>
      <c r="H61" s="306">
        <v>8.9700000000000006</v>
      </c>
      <c r="I61" s="306">
        <v>80.73</v>
      </c>
    </row>
    <row r="62" spans="2:9" ht="15" customHeight="1" x14ac:dyDescent="0.25">
      <c r="B62" s="308" t="s">
        <v>628</v>
      </c>
      <c r="C62" s="308" t="s">
        <v>320</v>
      </c>
      <c r="D62" s="317">
        <v>3.97</v>
      </c>
      <c r="E62" s="317">
        <v>7.8</v>
      </c>
      <c r="F62" s="317">
        <v>30.94</v>
      </c>
      <c r="G62" s="317">
        <v>3.97</v>
      </c>
      <c r="H62" s="317">
        <v>8.9700000000000006</v>
      </c>
      <c r="I62" s="317">
        <v>35.58</v>
      </c>
    </row>
    <row r="63" spans="2:9" ht="15" customHeight="1" x14ac:dyDescent="0.25">
      <c r="B63" s="312" t="s">
        <v>629</v>
      </c>
      <c r="C63" s="321"/>
      <c r="D63" s="386"/>
      <c r="E63" s="386"/>
      <c r="F63" s="320">
        <f>SUM(F59:F62)</f>
        <v>535.34</v>
      </c>
      <c r="G63" s="386"/>
      <c r="H63" s="386"/>
      <c r="I63" s="320">
        <f>SUM(I59:I62)</f>
        <v>615.64</v>
      </c>
    </row>
    <row r="64" spans="2:9" ht="15" customHeight="1" x14ac:dyDescent="0.25">
      <c r="B64" s="674" t="s">
        <v>630</v>
      </c>
      <c r="C64" s="674"/>
      <c r="D64" s="681">
        <f>F33+F48+F57+F63</f>
        <v>3115.4900000000002</v>
      </c>
      <c r="E64" s="683"/>
      <c r="F64" s="683"/>
      <c r="G64" s="681">
        <f>I33+I48+I57+I63</f>
        <v>3400.4099999999994</v>
      </c>
      <c r="H64" s="683"/>
      <c r="I64" s="683"/>
    </row>
    <row r="65" spans="2:9" ht="15" customHeight="1" x14ac:dyDescent="0.25">
      <c r="B65" s="675" t="s">
        <v>631</v>
      </c>
      <c r="C65" s="675"/>
      <c r="D65" s="680">
        <f>(D64/D9)*60</f>
        <v>23.965307692307693</v>
      </c>
      <c r="E65" s="680"/>
      <c r="F65" s="680"/>
      <c r="G65" s="680">
        <f>(G64/G9)*60</f>
        <v>22.745217391304344</v>
      </c>
      <c r="H65" s="680"/>
      <c r="I65" s="680"/>
    </row>
    <row r="66" spans="2:9" ht="15" customHeight="1" x14ac:dyDescent="0.25">
      <c r="B66" s="674" t="s">
        <v>632</v>
      </c>
      <c r="C66" s="674"/>
      <c r="D66" s="681">
        <f>(D9/60)*D69</f>
        <v>3770</v>
      </c>
      <c r="E66" s="681"/>
      <c r="F66" s="681"/>
      <c r="G66" s="681">
        <f>(G9/60)*G69</f>
        <v>4335.5</v>
      </c>
      <c r="H66" s="681"/>
      <c r="I66" s="681"/>
    </row>
    <row r="67" spans="2:9" ht="15" customHeight="1" x14ac:dyDescent="0.25">
      <c r="B67" s="675" t="s">
        <v>633</v>
      </c>
      <c r="C67" s="675"/>
      <c r="D67" s="676">
        <f>D66-D64</f>
        <v>654.50999999999976</v>
      </c>
      <c r="E67" s="678"/>
      <c r="F67" s="678"/>
      <c r="G67" s="676">
        <f>G66-G64</f>
        <v>935.0900000000006</v>
      </c>
      <c r="H67" s="678"/>
      <c r="I67" s="678"/>
    </row>
    <row r="68" spans="2:9" ht="15" customHeight="1" x14ac:dyDescent="0.25">
      <c r="B68" s="674" t="s">
        <v>634</v>
      </c>
      <c r="C68" s="674"/>
      <c r="D68" s="679">
        <f>D67/D66</f>
        <v>0.17361007957559677</v>
      </c>
      <c r="E68" s="679"/>
      <c r="F68" s="679"/>
      <c r="G68" s="679">
        <f>G67/G66</f>
        <v>0.21568215892053988</v>
      </c>
      <c r="H68" s="679"/>
      <c r="I68" s="679"/>
    </row>
    <row r="69" spans="2:9" ht="15" customHeight="1" x14ac:dyDescent="0.25">
      <c r="B69" s="675" t="s">
        <v>635</v>
      </c>
      <c r="C69" s="675"/>
      <c r="D69" s="676">
        <v>29</v>
      </c>
      <c r="E69" s="676"/>
      <c r="F69" s="676"/>
      <c r="G69" s="676">
        <v>29</v>
      </c>
      <c r="H69" s="676"/>
      <c r="I69" s="676"/>
    </row>
    <row r="70" spans="2:9" ht="15" customHeight="1" x14ac:dyDescent="0.25">
      <c r="B70" s="675" t="s">
        <v>636</v>
      </c>
      <c r="C70" s="675"/>
      <c r="D70" s="677" t="s">
        <v>779</v>
      </c>
      <c r="E70" s="678"/>
      <c r="F70" s="678"/>
      <c r="G70" s="677" t="s">
        <v>261</v>
      </c>
      <c r="H70" s="678"/>
      <c r="I70" s="678"/>
    </row>
    <row r="71" spans="2:9" ht="15" customHeight="1" x14ac:dyDescent="0.25">
      <c r="B71" s="674" t="s">
        <v>637</v>
      </c>
      <c r="C71" s="674"/>
      <c r="D71" s="674" t="s">
        <v>638</v>
      </c>
      <c r="E71" s="674"/>
      <c r="F71" s="674"/>
      <c r="G71" s="674"/>
      <c r="H71" s="674"/>
      <c r="I71" s="674"/>
    </row>
    <row r="72" spans="2:9" ht="5.0999999999999996" customHeight="1" x14ac:dyDescent="0.25"/>
    <row r="73" spans="2:9" s="262" customFormat="1" ht="16.5" customHeight="1" x14ac:dyDescent="0.25">
      <c r="B73" s="659" t="s">
        <v>639</v>
      </c>
      <c r="C73" s="660"/>
      <c r="D73" s="660"/>
      <c r="E73" s="660"/>
      <c r="F73" s="660"/>
      <c r="G73" s="660"/>
      <c r="H73" s="660"/>
      <c r="I73" s="660"/>
    </row>
    <row r="74" spans="2:9" s="262" customFormat="1" ht="16.5" customHeight="1" x14ac:dyDescent="0.25">
      <c r="B74" s="262" t="s">
        <v>640</v>
      </c>
    </row>
    <row r="75" spans="2:9" ht="16.5" customHeight="1" x14ac:dyDescent="0.25"/>
    <row r="76" spans="2:9" s="262" customFormat="1" ht="12.75" x14ac:dyDescent="0.25">
      <c r="B76" s="334" t="s">
        <v>369</v>
      </c>
      <c r="C76" s="334"/>
      <c r="D76" s="334"/>
      <c r="E76" s="334"/>
      <c r="F76" s="334"/>
      <c r="G76" s="334"/>
      <c r="H76" s="334"/>
      <c r="I76" s="336">
        <v>320</v>
      </c>
    </row>
    <row r="79" spans="2:9" s="389" customFormat="1" ht="12.75" x14ac:dyDescent="0.25">
      <c r="B79" s="432"/>
      <c r="C79" s="432"/>
    </row>
    <row r="80" spans="2:9" s="389" customFormat="1" ht="14.25" x14ac:dyDescent="0.25">
      <c r="B80" s="429" t="s">
        <v>260</v>
      </c>
      <c r="C80" s="430" t="str">
        <f>G70</f>
        <v>Transgênico</v>
      </c>
    </row>
    <row r="81" spans="2:3" s="389" customFormat="1" ht="14.25" x14ac:dyDescent="0.25">
      <c r="B81" s="433" t="s">
        <v>777</v>
      </c>
      <c r="C81" s="434">
        <f>'Banco de Dados - Grãos'!J8</f>
        <v>12372.830819756577</v>
      </c>
    </row>
    <row r="82" spans="2:3" s="389" customFormat="1" ht="14.25" x14ac:dyDescent="0.25">
      <c r="B82" s="429" t="s">
        <v>792</v>
      </c>
      <c r="C82" s="431">
        <f>'Banco de Dados - Grãos'!J9</f>
        <v>9750.3102206349686</v>
      </c>
    </row>
    <row r="83" spans="2:3" s="389" customFormat="1" ht="14.25" x14ac:dyDescent="0.25">
      <c r="B83" s="433" t="s">
        <v>780</v>
      </c>
      <c r="C83" s="434">
        <f>G64-I56</f>
        <v>3322.3699999999994</v>
      </c>
    </row>
    <row r="84" spans="2:3" s="389" customFormat="1" ht="14.25" x14ac:dyDescent="0.25">
      <c r="B84" s="429" t="s">
        <v>793</v>
      </c>
      <c r="C84" s="440">
        <f>G9/60</f>
        <v>149.5</v>
      </c>
    </row>
    <row r="85" spans="2:3" s="389" customFormat="1" ht="14.25" x14ac:dyDescent="0.25">
      <c r="B85" s="433" t="s">
        <v>794</v>
      </c>
      <c r="C85" s="434">
        <f>G69</f>
        <v>29</v>
      </c>
    </row>
    <row r="86" spans="2:3" s="389" customFormat="1" ht="14.25" x14ac:dyDescent="0.25">
      <c r="B86" s="429" t="s">
        <v>778</v>
      </c>
      <c r="C86" s="435">
        <v>4.0270000000000001</v>
      </c>
    </row>
    <row r="87" spans="2:3" s="389" customFormat="1" ht="14.25" x14ac:dyDescent="0.25">
      <c r="B87" s="433" t="s">
        <v>783</v>
      </c>
      <c r="C87" s="434"/>
    </row>
    <row r="88" spans="2:3" s="389" customFormat="1" ht="14.25" x14ac:dyDescent="0.25">
      <c r="B88" s="429" t="s">
        <v>784</v>
      </c>
      <c r="C88" s="435"/>
    </row>
    <row r="89" spans="2:3" s="389" customFormat="1" ht="14.25" x14ac:dyDescent="0.25">
      <c r="B89" s="433" t="s">
        <v>785</v>
      </c>
      <c r="C89" s="434"/>
    </row>
    <row r="90" spans="2:3" x14ac:dyDescent="0.25">
      <c r="B90" s="429" t="s">
        <v>873</v>
      </c>
      <c r="C90" s="611">
        <f>C83/C84</f>
        <v>22.223210702341134</v>
      </c>
    </row>
  </sheetData>
  <mergeCells count="34">
    <mergeCell ref="B11:I11"/>
    <mergeCell ref="B8:I8"/>
    <mergeCell ref="B9:B10"/>
    <mergeCell ref="C9:C10"/>
    <mergeCell ref="D9:F9"/>
    <mergeCell ref="G9:I9"/>
    <mergeCell ref="K25:K35"/>
    <mergeCell ref="B34:I34"/>
    <mergeCell ref="B49:I49"/>
    <mergeCell ref="B58:I58"/>
    <mergeCell ref="B64:C64"/>
    <mergeCell ref="D64:F64"/>
    <mergeCell ref="G64:I64"/>
    <mergeCell ref="B65:C65"/>
    <mergeCell ref="D65:F65"/>
    <mergeCell ref="G65:I65"/>
    <mergeCell ref="B66:C66"/>
    <mergeCell ref="D66:F66"/>
    <mergeCell ref="G66:I66"/>
    <mergeCell ref="B67:C67"/>
    <mergeCell ref="D67:F67"/>
    <mergeCell ref="G67:I67"/>
    <mergeCell ref="B68:C68"/>
    <mergeCell ref="D68:F68"/>
    <mergeCell ref="G68:I68"/>
    <mergeCell ref="B71:C71"/>
    <mergeCell ref="D71:I71"/>
    <mergeCell ref="B73:I73"/>
    <mergeCell ref="B69:C69"/>
    <mergeCell ref="D69:F69"/>
    <mergeCell ref="G69:I69"/>
    <mergeCell ref="B70:C70"/>
    <mergeCell ref="D70:F70"/>
    <mergeCell ref="G70:I70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3:K104"/>
  <sheetViews>
    <sheetView showGridLines="0" topLeftCell="A84" zoomScaleNormal="100" zoomScaleSheetLayoutView="90" workbookViewId="0">
      <selection activeCell="B104" sqref="B104:C104"/>
    </sheetView>
  </sheetViews>
  <sheetFormatPr defaultRowHeight="12.75" x14ac:dyDescent="0.25"/>
  <cols>
    <col min="1" max="1" width="4.5703125" style="262" customWidth="1"/>
    <col min="2" max="2" width="39.7109375" style="262" customWidth="1"/>
    <col min="3" max="3" width="50.85546875" style="262" customWidth="1"/>
    <col min="4" max="9" width="8.42578125" style="262" customWidth="1"/>
    <col min="10" max="10" width="2.28515625" style="262" customWidth="1"/>
    <col min="11" max="11" width="11.85546875" style="262" customWidth="1"/>
    <col min="12" max="16384" width="9.140625" style="262"/>
  </cols>
  <sheetData>
    <row r="3" spans="2:9" ht="26.25" customHeight="1" x14ac:dyDescent="0.25">
      <c r="H3" s="263"/>
      <c r="I3" s="263" t="s">
        <v>265</v>
      </c>
    </row>
    <row r="4" spans="2:9" ht="26.25" customHeight="1" x14ac:dyDescent="0.25">
      <c r="H4" s="263"/>
      <c r="I4" s="263"/>
    </row>
    <row r="5" spans="2:9" ht="26.25" customHeight="1" x14ac:dyDescent="0.25">
      <c r="H5" s="263"/>
      <c r="I5" s="263"/>
    </row>
    <row r="7" spans="2:9" x14ac:dyDescent="0.25">
      <c r="H7" s="264"/>
      <c r="I7" s="265" t="s">
        <v>266</v>
      </c>
    </row>
    <row r="8" spans="2:9" ht="38.25" customHeight="1" x14ac:dyDescent="0.25">
      <c r="B8" s="669" t="s">
        <v>267</v>
      </c>
      <c r="C8" s="670"/>
      <c r="D8" s="670"/>
      <c r="E8" s="670"/>
      <c r="F8" s="670"/>
      <c r="G8" s="670"/>
      <c r="H8" s="670"/>
      <c r="I8" s="670"/>
    </row>
    <row r="9" spans="2:9" ht="12.75" customHeight="1" x14ac:dyDescent="0.25">
      <c r="B9" s="696" t="s">
        <v>74</v>
      </c>
      <c r="C9" s="696" t="s">
        <v>268</v>
      </c>
      <c r="D9" s="697">
        <v>350</v>
      </c>
      <c r="E9" s="698"/>
      <c r="F9" s="698"/>
      <c r="G9" s="697">
        <v>350</v>
      </c>
      <c r="H9" s="698"/>
      <c r="I9" s="698"/>
    </row>
    <row r="10" spans="2:9" ht="15.75" x14ac:dyDescent="0.25">
      <c r="B10" s="696"/>
      <c r="C10" s="672"/>
      <c r="D10" s="266" t="s">
        <v>269</v>
      </c>
      <c r="E10" s="266" t="s">
        <v>270</v>
      </c>
      <c r="F10" s="266" t="s">
        <v>271</v>
      </c>
      <c r="G10" s="266" t="s">
        <v>269</v>
      </c>
      <c r="H10" s="266" t="s">
        <v>270</v>
      </c>
      <c r="I10" s="266" t="s">
        <v>271</v>
      </c>
    </row>
    <row r="11" spans="2:9" ht="15" x14ac:dyDescent="0.25">
      <c r="B11" s="667" t="s">
        <v>272</v>
      </c>
      <c r="C11" s="668"/>
      <c r="D11" s="668"/>
      <c r="E11" s="668"/>
      <c r="F11" s="668"/>
      <c r="G11" s="668"/>
      <c r="H11" s="668"/>
      <c r="I11" s="668"/>
    </row>
    <row r="12" spans="2:9" ht="15" x14ac:dyDescent="0.25">
      <c r="B12" s="267" t="s">
        <v>273</v>
      </c>
      <c r="C12" s="268"/>
      <c r="D12" s="268"/>
      <c r="E12" s="268"/>
      <c r="F12" s="268"/>
      <c r="G12" s="268"/>
      <c r="H12" s="268"/>
      <c r="I12" s="268"/>
    </row>
    <row r="13" spans="2:9" ht="15" x14ac:dyDescent="0.25">
      <c r="B13" s="269" t="s">
        <v>274</v>
      </c>
      <c r="C13" s="269" t="s">
        <v>275</v>
      </c>
      <c r="D13" s="270">
        <v>166.28</v>
      </c>
      <c r="E13" s="270">
        <v>0.15</v>
      </c>
      <c r="F13" s="270">
        <v>24.94</v>
      </c>
      <c r="G13" s="270">
        <v>166.28</v>
      </c>
      <c r="H13" s="270">
        <v>0.15</v>
      </c>
      <c r="I13" s="270">
        <v>24.94</v>
      </c>
    </row>
    <row r="14" spans="2:9" ht="15" x14ac:dyDescent="0.25">
      <c r="B14" s="267" t="s">
        <v>276</v>
      </c>
      <c r="C14" s="268"/>
      <c r="D14" s="268"/>
      <c r="E14" s="268"/>
      <c r="F14" s="268"/>
      <c r="G14" s="268"/>
      <c r="H14" s="268"/>
      <c r="I14" s="268"/>
    </row>
    <row r="15" spans="2:9" ht="15" x14ac:dyDescent="0.25">
      <c r="B15" s="269" t="s">
        <v>277</v>
      </c>
      <c r="C15" s="269" t="s">
        <v>278</v>
      </c>
      <c r="D15" s="270">
        <v>145.35</v>
      </c>
      <c r="E15" s="270">
        <v>0.17</v>
      </c>
      <c r="F15" s="270">
        <v>24.71</v>
      </c>
      <c r="G15" s="270">
        <v>145.35</v>
      </c>
      <c r="H15" s="270">
        <v>0.17</v>
      </c>
      <c r="I15" s="270">
        <v>24.71</v>
      </c>
    </row>
    <row r="16" spans="2:9" ht="15" x14ac:dyDescent="0.25">
      <c r="B16" s="271" t="s">
        <v>279</v>
      </c>
      <c r="C16" s="271" t="s">
        <v>278</v>
      </c>
      <c r="D16" s="272">
        <v>145.35</v>
      </c>
      <c r="E16" s="272">
        <v>0.17</v>
      </c>
      <c r="F16" s="272">
        <v>24.71</v>
      </c>
      <c r="G16" s="272">
        <v>145.35</v>
      </c>
      <c r="H16" s="272">
        <v>0.17</v>
      </c>
      <c r="I16" s="272">
        <v>24.71</v>
      </c>
    </row>
    <row r="17" spans="2:9" ht="15" x14ac:dyDescent="0.25">
      <c r="B17" s="269" t="s">
        <v>280</v>
      </c>
      <c r="C17" s="269" t="s">
        <v>281</v>
      </c>
      <c r="D17" s="270">
        <v>177.01</v>
      </c>
      <c r="E17" s="270">
        <v>0.7</v>
      </c>
      <c r="F17" s="270">
        <v>123.91</v>
      </c>
      <c r="G17" s="270">
        <v>177.01</v>
      </c>
      <c r="H17" s="270">
        <v>0.7</v>
      </c>
      <c r="I17" s="270">
        <v>123.91</v>
      </c>
    </row>
    <row r="18" spans="2:9" ht="15" x14ac:dyDescent="0.25">
      <c r="B18" s="271" t="s">
        <v>282</v>
      </c>
      <c r="C18" s="271" t="s">
        <v>283</v>
      </c>
      <c r="D18" s="272">
        <v>196.55</v>
      </c>
      <c r="E18" s="272">
        <v>0.4</v>
      </c>
      <c r="F18" s="272">
        <v>78.62</v>
      </c>
      <c r="G18" s="272">
        <v>196.55</v>
      </c>
      <c r="H18" s="272">
        <v>0.4</v>
      </c>
      <c r="I18" s="272">
        <v>78.62</v>
      </c>
    </row>
    <row r="19" spans="2:9" ht="15" x14ac:dyDescent="0.25">
      <c r="B19" s="269" t="s">
        <v>284</v>
      </c>
      <c r="C19" s="269" t="s">
        <v>285</v>
      </c>
      <c r="D19" s="270">
        <v>186.26</v>
      </c>
      <c r="E19" s="270">
        <v>0.3</v>
      </c>
      <c r="F19" s="270">
        <v>55.88</v>
      </c>
      <c r="G19" s="270">
        <v>186.26</v>
      </c>
      <c r="H19" s="270">
        <v>0.3</v>
      </c>
      <c r="I19" s="270">
        <v>55.88</v>
      </c>
    </row>
    <row r="20" spans="2:9" ht="15" x14ac:dyDescent="0.25">
      <c r="B20" s="271" t="s">
        <v>286</v>
      </c>
      <c r="C20" s="271" t="s">
        <v>287</v>
      </c>
      <c r="D20" s="272">
        <v>138.07</v>
      </c>
      <c r="E20" s="272">
        <v>0.25</v>
      </c>
      <c r="F20" s="272">
        <v>34.520000000000003</v>
      </c>
      <c r="G20" s="272">
        <v>138.07</v>
      </c>
      <c r="H20" s="272">
        <v>0.25</v>
      </c>
      <c r="I20" s="272">
        <v>34.520000000000003</v>
      </c>
    </row>
    <row r="21" spans="2:9" ht="15" x14ac:dyDescent="0.25">
      <c r="B21" s="269" t="s">
        <v>288</v>
      </c>
      <c r="C21" s="269" t="s">
        <v>289</v>
      </c>
      <c r="D21" s="270">
        <v>7.65</v>
      </c>
      <c r="E21" s="270">
        <v>0.3</v>
      </c>
      <c r="F21" s="270">
        <v>2.29</v>
      </c>
      <c r="G21" s="270">
        <v>7.65</v>
      </c>
      <c r="H21" s="270">
        <v>0.3</v>
      </c>
      <c r="I21" s="270">
        <v>2.29</v>
      </c>
    </row>
    <row r="22" spans="2:9" ht="15" x14ac:dyDescent="0.25">
      <c r="B22" s="271" t="s">
        <v>290</v>
      </c>
      <c r="C22" s="271" t="s">
        <v>291</v>
      </c>
      <c r="D22" s="272">
        <v>137.55000000000001</v>
      </c>
      <c r="E22" s="272">
        <v>0.25</v>
      </c>
      <c r="F22" s="272">
        <v>34.39</v>
      </c>
      <c r="G22" s="272">
        <v>137.55000000000001</v>
      </c>
      <c r="H22" s="272">
        <v>0.25</v>
      </c>
      <c r="I22" s="272">
        <v>34.39</v>
      </c>
    </row>
    <row r="23" spans="2:9" ht="15" x14ac:dyDescent="0.25">
      <c r="B23" s="273" t="s">
        <v>292</v>
      </c>
      <c r="C23" s="274"/>
      <c r="D23" s="274"/>
      <c r="E23" s="274"/>
      <c r="F23" s="274"/>
      <c r="G23" s="274"/>
      <c r="H23" s="274"/>
      <c r="I23" s="274"/>
    </row>
    <row r="24" spans="2:9" ht="15" x14ac:dyDescent="0.25">
      <c r="B24" s="271" t="s">
        <v>293</v>
      </c>
      <c r="C24" s="271" t="s">
        <v>294</v>
      </c>
      <c r="D24" s="272">
        <v>256.74</v>
      </c>
      <c r="E24" s="272">
        <v>0.22</v>
      </c>
      <c r="F24" s="272">
        <v>56.48</v>
      </c>
      <c r="G24" s="272">
        <v>256.74</v>
      </c>
      <c r="H24" s="272">
        <v>0.22</v>
      </c>
      <c r="I24" s="272">
        <v>56.48</v>
      </c>
    </row>
    <row r="25" spans="2:9" ht="15" x14ac:dyDescent="0.25">
      <c r="B25" s="269" t="s">
        <v>295</v>
      </c>
      <c r="C25" s="269" t="s">
        <v>296</v>
      </c>
      <c r="D25" s="270">
        <v>15.14</v>
      </c>
      <c r="E25" s="270">
        <v>0.1</v>
      </c>
      <c r="F25" s="270">
        <v>1.51</v>
      </c>
      <c r="G25" s="270">
        <v>15.14</v>
      </c>
      <c r="H25" s="270">
        <v>0.1</v>
      </c>
      <c r="I25" s="270">
        <v>1.51</v>
      </c>
    </row>
    <row r="26" spans="2:9" ht="15" x14ac:dyDescent="0.25">
      <c r="B26" s="271" t="s">
        <v>288</v>
      </c>
      <c r="C26" s="271" t="s">
        <v>289</v>
      </c>
      <c r="D26" s="272">
        <v>7.65</v>
      </c>
      <c r="E26" s="272">
        <v>0.25</v>
      </c>
      <c r="F26" s="272">
        <v>1.91</v>
      </c>
      <c r="G26" s="272">
        <v>7.65</v>
      </c>
      <c r="H26" s="272">
        <v>0.25</v>
      </c>
      <c r="I26" s="272">
        <v>1.91</v>
      </c>
    </row>
    <row r="27" spans="2:9" ht="15" x14ac:dyDescent="0.25">
      <c r="B27" s="269" t="s">
        <v>290</v>
      </c>
      <c r="C27" s="269" t="s">
        <v>291</v>
      </c>
      <c r="D27" s="270">
        <v>137.55000000000001</v>
      </c>
      <c r="E27" s="270">
        <v>0.22</v>
      </c>
      <c r="F27" s="270">
        <v>30.26</v>
      </c>
      <c r="G27" s="270">
        <v>137.55000000000001</v>
      </c>
      <c r="H27" s="270">
        <v>0.22</v>
      </c>
      <c r="I27" s="270">
        <v>30.26</v>
      </c>
    </row>
    <row r="28" spans="2:9" ht="15" x14ac:dyDescent="0.25">
      <c r="B28" s="267" t="s">
        <v>297</v>
      </c>
      <c r="C28" s="268"/>
      <c r="D28" s="268"/>
      <c r="E28" s="268"/>
      <c r="F28" s="268"/>
      <c r="G28" s="268"/>
      <c r="H28" s="268"/>
      <c r="I28" s="268"/>
    </row>
    <row r="29" spans="2:9" ht="15" x14ac:dyDescent="0.25">
      <c r="B29" s="269" t="s">
        <v>298</v>
      </c>
      <c r="C29" s="269" t="s">
        <v>299</v>
      </c>
      <c r="D29" s="270">
        <v>142.26</v>
      </c>
      <c r="E29" s="270">
        <v>0.4</v>
      </c>
      <c r="F29" s="270">
        <v>56.9</v>
      </c>
      <c r="G29" s="270">
        <v>142.26</v>
      </c>
      <c r="H29" s="270">
        <v>0.4</v>
      </c>
      <c r="I29" s="270">
        <v>56.9</v>
      </c>
    </row>
    <row r="30" spans="2:9" ht="15" x14ac:dyDescent="0.25">
      <c r="B30" s="271" t="s">
        <v>300</v>
      </c>
      <c r="C30" s="275"/>
      <c r="D30" s="272">
        <v>235.36</v>
      </c>
      <c r="E30" s="272">
        <v>4</v>
      </c>
      <c r="F30" s="272">
        <v>941.45</v>
      </c>
      <c r="G30" s="272">
        <v>235.36</v>
      </c>
      <c r="H30" s="272">
        <v>3.38</v>
      </c>
      <c r="I30" s="272">
        <v>795.53</v>
      </c>
    </row>
    <row r="31" spans="2:9" ht="15" x14ac:dyDescent="0.25">
      <c r="B31" s="269" t="s">
        <v>301</v>
      </c>
      <c r="C31" s="269" t="s">
        <v>302</v>
      </c>
      <c r="D31" s="270">
        <v>143.58000000000001</v>
      </c>
      <c r="E31" s="270">
        <v>0.5</v>
      </c>
      <c r="F31" s="270">
        <v>71.790000000000006</v>
      </c>
      <c r="G31" s="270">
        <v>143.58000000000001</v>
      </c>
      <c r="H31" s="270">
        <v>0.25</v>
      </c>
      <c r="I31" s="270">
        <v>35.9</v>
      </c>
    </row>
    <row r="32" spans="2:9" ht="15" x14ac:dyDescent="0.25">
      <c r="B32" s="271" t="s">
        <v>303</v>
      </c>
      <c r="C32" s="271" t="s">
        <v>304</v>
      </c>
      <c r="D32" s="272">
        <v>33.1</v>
      </c>
      <c r="E32" s="272">
        <v>6</v>
      </c>
      <c r="F32" s="272">
        <v>198.59</v>
      </c>
      <c r="G32" s="272">
        <v>32</v>
      </c>
      <c r="H32" s="272">
        <v>6</v>
      </c>
      <c r="I32" s="272">
        <v>192</v>
      </c>
    </row>
    <row r="33" spans="2:11" ht="15" x14ac:dyDescent="0.25">
      <c r="B33" s="269" t="s">
        <v>288</v>
      </c>
      <c r="C33" s="269" t="s">
        <v>289</v>
      </c>
      <c r="D33" s="270">
        <v>7.65</v>
      </c>
      <c r="E33" s="270">
        <v>1</v>
      </c>
      <c r="F33" s="270">
        <v>7.65</v>
      </c>
      <c r="G33" s="270">
        <v>7.65</v>
      </c>
      <c r="H33" s="270">
        <v>1</v>
      </c>
      <c r="I33" s="270">
        <v>7.65</v>
      </c>
    </row>
    <row r="34" spans="2:11" ht="15" x14ac:dyDescent="0.25">
      <c r="B34" s="271" t="s">
        <v>290</v>
      </c>
      <c r="C34" s="271" t="s">
        <v>291</v>
      </c>
      <c r="D34" s="272">
        <v>137.55000000000001</v>
      </c>
      <c r="E34" s="272">
        <v>1.2</v>
      </c>
      <c r="F34" s="272">
        <v>165.06</v>
      </c>
      <c r="G34" s="272">
        <v>137.55000000000001</v>
      </c>
      <c r="H34" s="272">
        <v>1.2</v>
      </c>
      <c r="I34" s="272">
        <v>165.06</v>
      </c>
    </row>
    <row r="35" spans="2:11" ht="15" x14ac:dyDescent="0.25">
      <c r="B35" s="269" t="s">
        <v>305</v>
      </c>
      <c r="C35" s="269" t="s">
        <v>58</v>
      </c>
      <c r="D35" s="270">
        <v>12.48</v>
      </c>
      <c r="E35" s="270">
        <v>1</v>
      </c>
      <c r="F35" s="270">
        <v>12.48</v>
      </c>
      <c r="G35" s="270">
        <v>12.48</v>
      </c>
      <c r="H35" s="270">
        <v>1</v>
      </c>
      <c r="I35" s="270">
        <v>12.48</v>
      </c>
    </row>
    <row r="36" spans="2:11" ht="12.75" customHeight="1" x14ac:dyDescent="0.25">
      <c r="B36" s="267" t="s">
        <v>306</v>
      </c>
      <c r="C36" s="268"/>
      <c r="D36" s="268"/>
      <c r="E36" s="268"/>
      <c r="F36" s="268"/>
      <c r="G36" s="268"/>
      <c r="H36" s="268"/>
      <c r="I36" s="268"/>
    </row>
    <row r="37" spans="2:11" ht="15" customHeight="1" x14ac:dyDescent="0.25">
      <c r="B37" s="269" t="s">
        <v>307</v>
      </c>
      <c r="C37" s="269" t="s">
        <v>308</v>
      </c>
      <c r="D37" s="270">
        <v>861.94</v>
      </c>
      <c r="E37" s="270">
        <v>0.25</v>
      </c>
      <c r="F37" s="270">
        <v>215.49</v>
      </c>
      <c r="G37" s="270">
        <v>861.94</v>
      </c>
      <c r="H37" s="270">
        <v>0.25</v>
      </c>
      <c r="I37" s="270">
        <v>215.49</v>
      </c>
      <c r="K37" s="666" t="s">
        <v>107</v>
      </c>
    </row>
    <row r="38" spans="2:11" ht="12.75" customHeight="1" x14ac:dyDescent="0.25">
      <c r="B38" s="271" t="s">
        <v>309</v>
      </c>
      <c r="C38" s="271" t="s">
        <v>310</v>
      </c>
      <c r="D38" s="272">
        <v>113.45</v>
      </c>
      <c r="E38" s="272">
        <v>0.3</v>
      </c>
      <c r="F38" s="272">
        <v>34.03</v>
      </c>
      <c r="G38" s="272">
        <v>113.45</v>
      </c>
      <c r="H38" s="272">
        <v>0.3</v>
      </c>
      <c r="I38" s="272">
        <v>34.03</v>
      </c>
      <c r="K38" s="666"/>
    </row>
    <row r="39" spans="2:11" ht="15" x14ac:dyDescent="0.25">
      <c r="B39" s="269" t="s">
        <v>311</v>
      </c>
      <c r="C39" s="269" t="s">
        <v>312</v>
      </c>
      <c r="D39" s="270">
        <v>150.74</v>
      </c>
      <c r="E39" s="270">
        <v>0.4</v>
      </c>
      <c r="F39" s="270">
        <v>60.3</v>
      </c>
      <c r="G39" s="270">
        <v>150.74</v>
      </c>
      <c r="H39" s="270">
        <v>0.4</v>
      </c>
      <c r="I39" s="270">
        <v>60.3</v>
      </c>
      <c r="K39" s="666"/>
    </row>
    <row r="40" spans="2:11" ht="15" x14ac:dyDescent="0.25">
      <c r="B40" s="267" t="s">
        <v>313</v>
      </c>
      <c r="C40" s="268"/>
      <c r="D40" s="268"/>
      <c r="E40" s="268"/>
      <c r="F40" s="268"/>
      <c r="G40" s="268"/>
      <c r="H40" s="268"/>
      <c r="I40" s="268"/>
      <c r="K40" s="666"/>
    </row>
    <row r="41" spans="2:11" ht="15" x14ac:dyDescent="0.25">
      <c r="B41" s="269" t="s">
        <v>314</v>
      </c>
      <c r="C41" s="269" t="s">
        <v>315</v>
      </c>
      <c r="D41" s="270">
        <v>637.26</v>
      </c>
      <c r="E41" s="270">
        <v>0.8</v>
      </c>
      <c r="F41" s="270">
        <v>509.81</v>
      </c>
      <c r="G41" s="270">
        <v>637.26</v>
      </c>
      <c r="H41" s="270">
        <v>0.8</v>
      </c>
      <c r="I41" s="270">
        <v>509.81</v>
      </c>
      <c r="K41" s="666"/>
    </row>
    <row r="42" spans="2:11" ht="15" x14ac:dyDescent="0.25">
      <c r="B42" s="267" t="s">
        <v>316</v>
      </c>
      <c r="C42" s="267"/>
      <c r="D42" s="276"/>
      <c r="E42" s="276"/>
      <c r="F42" s="277">
        <v>2767.67</v>
      </c>
      <c r="G42" s="276"/>
      <c r="H42" s="276"/>
      <c r="I42" s="277">
        <v>2579.27</v>
      </c>
      <c r="K42" s="666"/>
    </row>
    <row r="43" spans="2:11" ht="15" x14ac:dyDescent="0.25">
      <c r="B43" s="667" t="s">
        <v>317</v>
      </c>
      <c r="C43" s="668"/>
      <c r="D43" s="668"/>
      <c r="E43" s="668"/>
      <c r="F43" s="668"/>
      <c r="G43" s="668"/>
      <c r="H43" s="668"/>
      <c r="I43" s="668"/>
      <c r="K43" s="666"/>
    </row>
    <row r="44" spans="2:11" ht="15" x14ac:dyDescent="0.25">
      <c r="B44" s="267" t="s">
        <v>318</v>
      </c>
      <c r="C44" s="268"/>
      <c r="D44" s="268"/>
      <c r="E44" s="268"/>
      <c r="F44" s="277"/>
      <c r="G44" s="268"/>
      <c r="H44" s="268"/>
      <c r="I44" s="277"/>
      <c r="K44" s="666"/>
    </row>
    <row r="45" spans="2:11" ht="15" x14ac:dyDescent="0.25">
      <c r="B45" s="269" t="s">
        <v>319</v>
      </c>
      <c r="C45" s="269" t="s">
        <v>320</v>
      </c>
      <c r="D45" s="270">
        <v>160</v>
      </c>
      <c r="E45" s="270">
        <v>0.5</v>
      </c>
      <c r="F45" s="270">
        <v>80</v>
      </c>
      <c r="G45" s="270">
        <v>160</v>
      </c>
      <c r="H45" s="270">
        <v>0.5</v>
      </c>
      <c r="I45" s="270">
        <v>80</v>
      </c>
      <c r="K45" s="666"/>
    </row>
    <row r="46" spans="2:11" ht="15" x14ac:dyDescent="0.25">
      <c r="B46" s="271" t="s">
        <v>321</v>
      </c>
      <c r="C46" s="271" t="s">
        <v>320</v>
      </c>
      <c r="D46" s="278">
        <v>2525</v>
      </c>
      <c r="E46" s="272">
        <v>0.25</v>
      </c>
      <c r="F46" s="272">
        <v>631.25</v>
      </c>
      <c r="G46" s="278">
        <v>2525</v>
      </c>
      <c r="H46" s="272">
        <v>0.25</v>
      </c>
      <c r="I46" s="272">
        <v>631.25</v>
      </c>
      <c r="K46" s="666"/>
    </row>
    <row r="47" spans="2:11" ht="15" x14ac:dyDescent="0.25">
      <c r="B47" s="269" t="s">
        <v>322</v>
      </c>
      <c r="C47" s="269" t="s">
        <v>320</v>
      </c>
      <c r="D47" s="279">
        <v>1902</v>
      </c>
      <c r="E47" s="270">
        <v>0.3</v>
      </c>
      <c r="F47" s="270">
        <v>570.6</v>
      </c>
      <c r="G47" s="279">
        <v>1902</v>
      </c>
      <c r="H47" s="270">
        <v>0.3</v>
      </c>
      <c r="I47" s="270">
        <v>570.6</v>
      </c>
      <c r="K47" s="666"/>
    </row>
    <row r="48" spans="2:11" ht="15" x14ac:dyDescent="0.25">
      <c r="B48" s="271" t="s">
        <v>323</v>
      </c>
      <c r="C48" s="271" t="s">
        <v>320</v>
      </c>
      <c r="D48" s="278">
        <v>1880</v>
      </c>
      <c r="E48" s="272">
        <v>0.3</v>
      </c>
      <c r="F48" s="272">
        <v>564</v>
      </c>
      <c r="G48" s="278">
        <v>1880</v>
      </c>
      <c r="H48" s="272">
        <v>0.3</v>
      </c>
      <c r="I48" s="272">
        <v>564</v>
      </c>
      <c r="K48" s="280"/>
    </row>
    <row r="49" spans="2:11" ht="15" x14ac:dyDescent="0.25">
      <c r="B49" s="273" t="s">
        <v>324</v>
      </c>
      <c r="C49" s="274"/>
      <c r="D49" s="274"/>
      <c r="E49" s="274"/>
      <c r="F49" s="281"/>
      <c r="G49" s="274"/>
      <c r="H49" s="274"/>
      <c r="I49" s="281"/>
      <c r="K49" s="280"/>
    </row>
    <row r="50" spans="2:11" ht="15" x14ac:dyDescent="0.25">
      <c r="B50" s="271" t="s">
        <v>325</v>
      </c>
      <c r="C50" s="271" t="s">
        <v>326</v>
      </c>
      <c r="D50" s="272">
        <v>71.3</v>
      </c>
      <c r="E50" s="272">
        <v>12</v>
      </c>
      <c r="F50" s="272">
        <v>855.6</v>
      </c>
      <c r="G50" s="272">
        <v>66.7</v>
      </c>
      <c r="H50" s="272">
        <v>12</v>
      </c>
      <c r="I50" s="272">
        <v>800.4</v>
      </c>
      <c r="K50" s="280"/>
    </row>
    <row r="51" spans="2:11" ht="15" x14ac:dyDescent="0.25">
      <c r="B51" s="273" t="s">
        <v>327</v>
      </c>
      <c r="C51" s="274"/>
      <c r="D51" s="274"/>
      <c r="E51" s="274"/>
      <c r="F51" s="282"/>
      <c r="G51" s="274"/>
      <c r="H51" s="274"/>
      <c r="I51" s="282"/>
      <c r="K51" s="280"/>
    </row>
    <row r="52" spans="2:11" ht="15" x14ac:dyDescent="0.25">
      <c r="B52" s="271" t="s">
        <v>328</v>
      </c>
      <c r="C52" s="271" t="s">
        <v>329</v>
      </c>
      <c r="D52" s="272">
        <v>58.9</v>
      </c>
      <c r="E52" s="272">
        <v>0.9</v>
      </c>
      <c r="F52" s="272">
        <v>53.01</v>
      </c>
      <c r="G52" s="272">
        <v>58.9</v>
      </c>
      <c r="H52" s="272">
        <v>0.9</v>
      </c>
      <c r="I52" s="272">
        <v>53.01</v>
      </c>
    </row>
    <row r="53" spans="2:11" ht="15" x14ac:dyDescent="0.25">
      <c r="B53" s="269" t="s">
        <v>330</v>
      </c>
      <c r="C53" s="269" t="s">
        <v>329</v>
      </c>
      <c r="D53" s="270">
        <v>466.4</v>
      </c>
      <c r="E53" s="270">
        <v>5.26</v>
      </c>
      <c r="F53" s="270">
        <v>875.24</v>
      </c>
      <c r="G53" s="270">
        <v>175.69</v>
      </c>
      <c r="H53" s="270">
        <v>4.76</v>
      </c>
      <c r="I53" s="270">
        <v>836.29</v>
      </c>
    </row>
    <row r="54" spans="2:11" ht="15" x14ac:dyDescent="0.25">
      <c r="B54" s="271" t="s">
        <v>331</v>
      </c>
      <c r="C54" s="271" t="s">
        <v>329</v>
      </c>
      <c r="D54" s="272">
        <v>29.56</v>
      </c>
      <c r="E54" s="272">
        <v>17.260000000000002</v>
      </c>
      <c r="F54" s="272">
        <v>510.12</v>
      </c>
      <c r="G54" s="272">
        <v>29.66</v>
      </c>
      <c r="H54" s="272">
        <v>15.35</v>
      </c>
      <c r="I54" s="272">
        <v>455.34</v>
      </c>
    </row>
    <row r="55" spans="2:11" ht="15" x14ac:dyDescent="0.25">
      <c r="B55" s="269" t="s">
        <v>332</v>
      </c>
      <c r="C55" s="269" t="s">
        <v>329</v>
      </c>
      <c r="D55" s="270">
        <v>76.38</v>
      </c>
      <c r="E55" s="270">
        <v>6.21</v>
      </c>
      <c r="F55" s="270">
        <v>474.15</v>
      </c>
      <c r="G55" s="270">
        <v>76.38</v>
      </c>
      <c r="H55" s="270">
        <v>6.21</v>
      </c>
      <c r="I55" s="270">
        <v>474.15</v>
      </c>
    </row>
    <row r="56" spans="2:11" ht="15" x14ac:dyDescent="0.25">
      <c r="B56" s="275" t="s">
        <v>333</v>
      </c>
      <c r="C56" s="275" t="s">
        <v>334</v>
      </c>
      <c r="D56" s="272">
        <v>20.25</v>
      </c>
      <c r="E56" s="272">
        <v>7.2</v>
      </c>
      <c r="F56" s="272">
        <v>145.77000000000001</v>
      </c>
      <c r="G56" s="272">
        <v>20.25</v>
      </c>
      <c r="H56" s="272">
        <v>7.2</v>
      </c>
      <c r="I56" s="272">
        <v>145.77000000000001</v>
      </c>
    </row>
    <row r="57" spans="2:11" ht="15" x14ac:dyDescent="0.25">
      <c r="B57" s="267" t="s">
        <v>335</v>
      </c>
      <c r="C57" s="267"/>
      <c r="D57" s="276"/>
      <c r="E57" s="276"/>
      <c r="F57" s="277">
        <v>4759.75</v>
      </c>
      <c r="G57" s="276"/>
      <c r="H57" s="276"/>
      <c r="I57" s="277">
        <v>4610.8100000000004</v>
      </c>
    </row>
    <row r="58" spans="2:11" ht="15" x14ac:dyDescent="0.25">
      <c r="B58" s="667" t="s">
        <v>336</v>
      </c>
      <c r="C58" s="668"/>
      <c r="D58" s="668"/>
      <c r="E58" s="668"/>
      <c r="F58" s="668"/>
      <c r="G58" s="668"/>
      <c r="H58" s="668"/>
      <c r="I58" s="668"/>
    </row>
    <row r="59" spans="2:11" ht="15" x14ac:dyDescent="0.25">
      <c r="B59" s="269" t="s">
        <v>337</v>
      </c>
      <c r="C59" s="269" t="s">
        <v>58</v>
      </c>
      <c r="D59" s="270">
        <v>37.43</v>
      </c>
      <c r="E59" s="270">
        <v>1</v>
      </c>
      <c r="F59" s="270">
        <v>37.43</v>
      </c>
      <c r="G59" s="270">
        <v>37.43</v>
      </c>
      <c r="H59" s="270">
        <v>1</v>
      </c>
      <c r="I59" s="270">
        <v>37.43</v>
      </c>
    </row>
    <row r="60" spans="2:11" ht="15" x14ac:dyDescent="0.25">
      <c r="B60" s="271" t="s">
        <v>338</v>
      </c>
      <c r="C60" s="271" t="s">
        <v>58</v>
      </c>
      <c r="D60" s="272">
        <v>24.95</v>
      </c>
      <c r="E60" s="272">
        <v>1</v>
      </c>
      <c r="F60" s="272">
        <v>24.95</v>
      </c>
      <c r="G60" s="272">
        <v>24.95</v>
      </c>
      <c r="H60" s="272">
        <v>1</v>
      </c>
      <c r="I60" s="272">
        <v>24.95</v>
      </c>
    </row>
    <row r="61" spans="2:11" ht="15" x14ac:dyDescent="0.25">
      <c r="B61" s="269" t="s">
        <v>339</v>
      </c>
      <c r="C61" s="269" t="s">
        <v>58</v>
      </c>
      <c r="D61" s="270">
        <v>8.32</v>
      </c>
      <c r="E61" s="270">
        <v>1</v>
      </c>
      <c r="F61" s="270">
        <v>8.32</v>
      </c>
      <c r="G61" s="270">
        <v>8.32</v>
      </c>
      <c r="H61" s="270">
        <v>1</v>
      </c>
      <c r="I61" s="270">
        <v>8.32</v>
      </c>
    </row>
    <row r="62" spans="2:11" ht="15" x14ac:dyDescent="0.25">
      <c r="B62" s="271" t="s">
        <v>340</v>
      </c>
      <c r="C62" s="271" t="s">
        <v>58</v>
      </c>
      <c r="D62" s="272">
        <v>12.48</v>
      </c>
      <c r="E62" s="272">
        <v>1</v>
      </c>
      <c r="F62" s="272">
        <v>12.48</v>
      </c>
      <c r="G62" s="272">
        <v>12.48</v>
      </c>
      <c r="H62" s="272">
        <v>1</v>
      </c>
      <c r="I62" s="272">
        <v>12.48</v>
      </c>
    </row>
    <row r="63" spans="2:11" ht="15" x14ac:dyDescent="0.25">
      <c r="B63" s="269" t="s">
        <v>341</v>
      </c>
      <c r="C63" s="269" t="s">
        <v>58</v>
      </c>
      <c r="D63" s="270">
        <v>6.96</v>
      </c>
      <c r="E63" s="270">
        <v>1</v>
      </c>
      <c r="F63" s="270">
        <v>6.96</v>
      </c>
      <c r="G63" s="270">
        <v>6.96</v>
      </c>
      <c r="H63" s="270">
        <v>1</v>
      </c>
      <c r="I63" s="270">
        <v>6.96</v>
      </c>
    </row>
    <row r="64" spans="2:11" ht="15" x14ac:dyDescent="0.25">
      <c r="B64" s="271" t="s">
        <v>342</v>
      </c>
      <c r="C64" s="271" t="s">
        <v>58</v>
      </c>
      <c r="D64" s="272">
        <v>47.46</v>
      </c>
      <c r="E64" s="272">
        <v>1</v>
      </c>
      <c r="F64" s="272">
        <v>47.46</v>
      </c>
      <c r="G64" s="272">
        <v>47.46</v>
      </c>
      <c r="H64" s="272">
        <v>1</v>
      </c>
      <c r="I64" s="272">
        <v>47.46</v>
      </c>
    </row>
    <row r="65" spans="2:9" ht="15" x14ac:dyDescent="0.25">
      <c r="B65" s="269" t="s">
        <v>343</v>
      </c>
      <c r="C65" s="269" t="s">
        <v>344</v>
      </c>
      <c r="D65" s="270">
        <v>1.7999999999999999E-2</v>
      </c>
      <c r="E65" s="270">
        <v>1</v>
      </c>
      <c r="F65" s="270">
        <v>221.13</v>
      </c>
      <c r="G65" s="270">
        <v>1.7999999999999999E-2</v>
      </c>
      <c r="H65" s="270">
        <v>1</v>
      </c>
      <c r="I65" s="270">
        <v>221.13</v>
      </c>
    </row>
    <row r="66" spans="2:9" ht="15" x14ac:dyDescent="0.25">
      <c r="B66" s="267" t="s">
        <v>345</v>
      </c>
      <c r="C66" s="267" t="s">
        <v>346</v>
      </c>
      <c r="D66" s="276"/>
      <c r="E66" s="276"/>
      <c r="F66" s="277">
        <v>358.71</v>
      </c>
      <c r="G66" s="276"/>
      <c r="H66" s="276"/>
      <c r="I66" s="277">
        <v>358.71</v>
      </c>
    </row>
    <row r="67" spans="2:9" ht="15" x14ac:dyDescent="0.25">
      <c r="B67" s="667" t="s">
        <v>347</v>
      </c>
      <c r="C67" s="668"/>
      <c r="D67" s="668"/>
      <c r="E67" s="668"/>
      <c r="F67" s="668"/>
      <c r="G67" s="668"/>
      <c r="H67" s="668"/>
      <c r="I67" s="668"/>
    </row>
    <row r="68" spans="2:9" ht="15" x14ac:dyDescent="0.25">
      <c r="B68" s="271" t="s">
        <v>348</v>
      </c>
      <c r="C68" s="271" t="s">
        <v>146</v>
      </c>
      <c r="D68" s="272">
        <v>1</v>
      </c>
      <c r="E68" s="272">
        <v>350</v>
      </c>
      <c r="F68" s="272">
        <v>350</v>
      </c>
      <c r="G68" s="272">
        <v>1</v>
      </c>
      <c r="H68" s="272">
        <v>350</v>
      </c>
      <c r="I68" s="272">
        <v>350</v>
      </c>
    </row>
    <row r="69" spans="2:9" ht="15" x14ac:dyDescent="0.25">
      <c r="B69" s="269" t="s">
        <v>349</v>
      </c>
      <c r="C69" s="269" t="s">
        <v>350</v>
      </c>
      <c r="D69" s="270">
        <v>6</v>
      </c>
      <c r="E69" s="270">
        <v>136.5</v>
      </c>
      <c r="F69" s="270">
        <v>819</v>
      </c>
      <c r="G69" s="270">
        <v>6</v>
      </c>
      <c r="H69" s="270">
        <v>136.5</v>
      </c>
      <c r="I69" s="270">
        <v>819</v>
      </c>
    </row>
    <row r="70" spans="2:9" ht="15" x14ac:dyDescent="0.25">
      <c r="B70" s="267" t="s">
        <v>351</v>
      </c>
      <c r="C70" s="267" t="s">
        <v>346</v>
      </c>
      <c r="D70" s="276"/>
      <c r="E70" s="276"/>
      <c r="F70" s="277">
        <v>1169</v>
      </c>
      <c r="G70" s="276"/>
      <c r="H70" s="276"/>
      <c r="I70" s="277">
        <v>1169</v>
      </c>
    </row>
    <row r="71" spans="2:9" ht="15" x14ac:dyDescent="0.25">
      <c r="B71" s="688" t="s">
        <v>352</v>
      </c>
      <c r="C71" s="689"/>
      <c r="D71" s="690">
        <v>9055.1299999999992</v>
      </c>
      <c r="E71" s="691"/>
      <c r="F71" s="692"/>
      <c r="G71" s="690">
        <v>8717.7900000000009</v>
      </c>
      <c r="H71" s="691"/>
      <c r="I71" s="692"/>
    </row>
    <row r="72" spans="2:9" ht="15" x14ac:dyDescent="0.25">
      <c r="B72" s="661" t="s">
        <v>353</v>
      </c>
      <c r="C72" s="661"/>
      <c r="D72" s="662">
        <v>66.34</v>
      </c>
      <c r="E72" s="662"/>
      <c r="F72" s="662"/>
      <c r="G72" s="662">
        <v>63.87</v>
      </c>
      <c r="H72" s="662"/>
      <c r="I72" s="662"/>
    </row>
    <row r="73" spans="2:9" ht="15" x14ac:dyDescent="0.25">
      <c r="B73" s="688" t="s">
        <v>354</v>
      </c>
      <c r="C73" s="689"/>
      <c r="D73" s="690">
        <v>12285</v>
      </c>
      <c r="E73" s="691"/>
      <c r="F73" s="692"/>
      <c r="G73" s="690">
        <v>12285</v>
      </c>
      <c r="H73" s="691"/>
      <c r="I73" s="692"/>
    </row>
    <row r="74" spans="2:9" ht="15" x14ac:dyDescent="0.25">
      <c r="B74" s="661" t="s">
        <v>355</v>
      </c>
      <c r="C74" s="661"/>
      <c r="D74" s="662">
        <v>1391.25</v>
      </c>
      <c r="E74" s="662"/>
      <c r="F74" s="662"/>
      <c r="G74" s="662">
        <v>1391.25</v>
      </c>
      <c r="H74" s="662"/>
      <c r="I74" s="662"/>
    </row>
    <row r="75" spans="2:9" ht="15" x14ac:dyDescent="0.25">
      <c r="B75" s="688" t="s">
        <v>356</v>
      </c>
      <c r="C75" s="689"/>
      <c r="D75" s="690">
        <v>4621.12</v>
      </c>
      <c r="E75" s="691"/>
      <c r="F75" s="692"/>
      <c r="G75" s="690">
        <v>4958.46</v>
      </c>
      <c r="H75" s="691"/>
      <c r="I75" s="692"/>
    </row>
    <row r="76" spans="2:9" ht="15" x14ac:dyDescent="0.25">
      <c r="B76" s="661" t="s">
        <v>357</v>
      </c>
      <c r="C76" s="661"/>
      <c r="D76" s="662">
        <v>33.85</v>
      </c>
      <c r="E76" s="662"/>
      <c r="F76" s="662"/>
      <c r="G76" s="662">
        <v>36.33</v>
      </c>
      <c r="H76" s="662"/>
      <c r="I76" s="662"/>
    </row>
    <row r="77" spans="2:9" ht="15" x14ac:dyDescent="0.25">
      <c r="B77" s="688" t="s">
        <v>358</v>
      </c>
      <c r="C77" s="689" t="s">
        <v>359</v>
      </c>
      <c r="D77" s="693">
        <v>0.33789999999999998</v>
      </c>
      <c r="E77" s="694"/>
      <c r="F77" s="695"/>
      <c r="G77" s="693">
        <v>0.36259999999999998</v>
      </c>
      <c r="H77" s="694"/>
      <c r="I77" s="695"/>
    </row>
    <row r="78" spans="2:9" ht="15" x14ac:dyDescent="0.25">
      <c r="B78" s="661" t="s">
        <v>360</v>
      </c>
      <c r="C78" s="661"/>
      <c r="D78" s="662">
        <v>90</v>
      </c>
      <c r="E78" s="662"/>
      <c r="F78" s="662"/>
      <c r="G78" s="662">
        <v>90</v>
      </c>
      <c r="H78" s="662"/>
      <c r="I78" s="662"/>
    </row>
    <row r="79" spans="2:9" ht="15" x14ac:dyDescent="0.25">
      <c r="B79" s="688" t="s">
        <v>361</v>
      </c>
      <c r="C79" s="689"/>
      <c r="D79" s="690">
        <v>500</v>
      </c>
      <c r="E79" s="691"/>
      <c r="F79" s="692"/>
      <c r="G79" s="690">
        <v>500</v>
      </c>
      <c r="H79" s="691"/>
      <c r="I79" s="692"/>
    </row>
    <row r="80" spans="2:9" ht="15" x14ac:dyDescent="0.25">
      <c r="B80" s="661" t="s">
        <v>362</v>
      </c>
      <c r="C80" s="661"/>
      <c r="D80" s="686" t="s">
        <v>779</v>
      </c>
      <c r="E80" s="687"/>
      <c r="F80" s="687"/>
      <c r="G80" s="686" t="s">
        <v>261</v>
      </c>
      <c r="H80" s="687"/>
      <c r="I80" s="687"/>
    </row>
    <row r="81" spans="1:9" ht="15" x14ac:dyDescent="0.25">
      <c r="B81" s="688" t="s">
        <v>363</v>
      </c>
      <c r="C81" s="689"/>
      <c r="D81" s="283" t="s">
        <v>364</v>
      </c>
      <c r="E81" s="284"/>
      <c r="F81" s="285"/>
      <c r="G81" s="283"/>
      <c r="H81" s="284"/>
      <c r="I81" s="285"/>
    </row>
    <row r="82" spans="1:9" s="288" customFormat="1" ht="5.0999999999999996" customHeight="1" x14ac:dyDescent="0.25">
      <c r="A82" s="286"/>
      <c r="B82" s="262"/>
      <c r="C82" s="287"/>
      <c r="D82" s="287"/>
      <c r="E82" s="287"/>
      <c r="F82" s="287"/>
      <c r="G82" s="287"/>
      <c r="H82" s="287"/>
      <c r="I82" s="287"/>
    </row>
    <row r="83" spans="1:9" s="288" customFormat="1" ht="16.5" customHeight="1" x14ac:dyDescent="0.25">
      <c r="A83" s="286" t="s">
        <v>365</v>
      </c>
      <c r="B83" s="262" t="s">
        <v>366</v>
      </c>
      <c r="C83" s="287"/>
      <c r="D83" s="287"/>
      <c r="E83" s="287"/>
      <c r="F83" s="287"/>
      <c r="G83" s="287"/>
      <c r="H83" s="287"/>
      <c r="I83" s="287"/>
    </row>
    <row r="84" spans="1:9" s="288" customFormat="1" ht="16.5" customHeight="1" x14ac:dyDescent="0.25">
      <c r="A84" s="286"/>
      <c r="B84" s="262" t="s">
        <v>367</v>
      </c>
      <c r="C84" s="262"/>
      <c r="D84" s="287"/>
      <c r="E84" s="287"/>
      <c r="F84" s="287"/>
      <c r="G84" s="287"/>
      <c r="H84" s="287"/>
      <c r="I84" s="287"/>
    </row>
    <row r="85" spans="1:9" ht="16.5" customHeight="1" x14ac:dyDescent="0.25">
      <c r="B85" s="262" t="s">
        <v>368</v>
      </c>
    </row>
    <row r="86" spans="1:9" ht="16.5" customHeight="1" x14ac:dyDescent="0.25"/>
    <row r="87" spans="1:9" x14ac:dyDescent="0.25">
      <c r="B87" s="289" t="s">
        <v>369</v>
      </c>
      <c r="C87" s="289"/>
      <c r="D87" s="289"/>
      <c r="E87" s="289"/>
      <c r="F87" s="289"/>
      <c r="G87" s="289"/>
      <c r="H87" s="289"/>
      <c r="I87" s="290">
        <v>115</v>
      </c>
    </row>
    <row r="90" spans="1:9" x14ac:dyDescent="0.25">
      <c r="B90" s="432"/>
      <c r="C90" s="432"/>
    </row>
    <row r="91" spans="1:9" ht="14.25" x14ac:dyDescent="0.25">
      <c r="B91" s="429" t="s">
        <v>260</v>
      </c>
      <c r="C91" s="430" t="str">
        <f>G80</f>
        <v>Transgênico</v>
      </c>
    </row>
    <row r="92" spans="1:9" ht="14.25" x14ac:dyDescent="0.25">
      <c r="B92" s="433" t="s">
        <v>777</v>
      </c>
      <c r="C92" s="577">
        <f>'Banco de Dados - Grãos'!J8</f>
        <v>12372.830819756577</v>
      </c>
    </row>
    <row r="93" spans="1:9" ht="14.25" x14ac:dyDescent="0.25">
      <c r="B93" s="429" t="s">
        <v>782</v>
      </c>
      <c r="C93" s="578">
        <f>'Banco de Dados - Grãos'!J9</f>
        <v>9750.3102206349686</v>
      </c>
    </row>
    <row r="94" spans="1:9" ht="14.25" x14ac:dyDescent="0.25">
      <c r="B94" s="433" t="s">
        <v>780</v>
      </c>
      <c r="C94" s="436">
        <f>G71-I65</f>
        <v>8496.6600000000017</v>
      </c>
    </row>
    <row r="95" spans="1:9" ht="14.25" x14ac:dyDescent="0.25">
      <c r="B95" s="429" t="s">
        <v>796</v>
      </c>
      <c r="C95" s="440">
        <f>G9</f>
        <v>350</v>
      </c>
    </row>
    <row r="96" spans="1:9" ht="14.25" x14ac:dyDescent="0.25">
      <c r="B96" s="433" t="s">
        <v>795</v>
      </c>
      <c r="C96" s="436">
        <f>39%*C95</f>
        <v>136.5</v>
      </c>
    </row>
    <row r="97" spans="2:3" ht="14.25" x14ac:dyDescent="0.25">
      <c r="B97" s="429" t="s">
        <v>262</v>
      </c>
      <c r="C97" s="431">
        <f>G73</f>
        <v>12285</v>
      </c>
    </row>
    <row r="98" spans="2:3" ht="14.25" x14ac:dyDescent="0.25">
      <c r="B98" s="433" t="s">
        <v>789</v>
      </c>
      <c r="C98" s="434">
        <f>C97/C95</f>
        <v>35.1</v>
      </c>
    </row>
    <row r="99" spans="2:3" ht="14.25" x14ac:dyDescent="0.25">
      <c r="B99" s="429" t="s">
        <v>264</v>
      </c>
      <c r="C99" s="431">
        <f>C97/C96</f>
        <v>90</v>
      </c>
    </row>
    <row r="100" spans="2:3" ht="14.25" x14ac:dyDescent="0.25">
      <c r="B100" s="433" t="s">
        <v>778</v>
      </c>
      <c r="C100" s="437">
        <v>4.0270000000000001</v>
      </c>
    </row>
    <row r="101" spans="2:3" ht="14.25" x14ac:dyDescent="0.25">
      <c r="B101" s="429" t="s">
        <v>783</v>
      </c>
      <c r="C101" s="431"/>
    </row>
    <row r="102" spans="2:3" ht="14.25" x14ac:dyDescent="0.25">
      <c r="B102" s="433" t="s">
        <v>784</v>
      </c>
      <c r="C102" s="437"/>
    </row>
    <row r="103" spans="2:3" ht="14.25" x14ac:dyDescent="0.25">
      <c r="B103" s="429" t="s">
        <v>785</v>
      </c>
      <c r="C103" s="431"/>
    </row>
    <row r="104" spans="2:3" ht="15" x14ac:dyDescent="0.25">
      <c r="B104" s="429" t="s">
        <v>873</v>
      </c>
      <c r="C104" s="611">
        <f>C94/C96</f>
        <v>62.246593406593419</v>
      </c>
    </row>
  </sheetData>
  <mergeCells count="41">
    <mergeCell ref="B11:I11"/>
    <mergeCell ref="B8:I8"/>
    <mergeCell ref="B9:B10"/>
    <mergeCell ref="C9:C10"/>
    <mergeCell ref="D9:F9"/>
    <mergeCell ref="G9:I9"/>
    <mergeCell ref="K37:K47"/>
    <mergeCell ref="B43:I43"/>
    <mergeCell ref="B58:I58"/>
    <mergeCell ref="B67:I67"/>
    <mergeCell ref="B71:C71"/>
    <mergeCell ref="D71:F71"/>
    <mergeCell ref="G71:I71"/>
    <mergeCell ref="B72:C72"/>
    <mergeCell ref="D72:F72"/>
    <mergeCell ref="G72:I72"/>
    <mergeCell ref="B73:C73"/>
    <mergeCell ref="D73:F73"/>
    <mergeCell ref="G73:I73"/>
    <mergeCell ref="B74:C74"/>
    <mergeCell ref="D74:F74"/>
    <mergeCell ref="G74:I74"/>
    <mergeCell ref="B75:C75"/>
    <mergeCell ref="D75:F75"/>
    <mergeCell ref="G75:I75"/>
    <mergeCell ref="B76:C76"/>
    <mergeCell ref="D76:F76"/>
    <mergeCell ref="G76:I76"/>
    <mergeCell ref="B77:C77"/>
    <mergeCell ref="D77:F77"/>
    <mergeCell ref="G77:I77"/>
    <mergeCell ref="B80:C80"/>
    <mergeCell ref="D80:F80"/>
    <mergeCell ref="G80:I80"/>
    <mergeCell ref="B81:C81"/>
    <mergeCell ref="B78:C78"/>
    <mergeCell ref="D78:F78"/>
    <mergeCell ref="G78:I78"/>
    <mergeCell ref="B79:C79"/>
    <mergeCell ref="D79:F79"/>
    <mergeCell ref="G79:I79"/>
  </mergeCells>
  <hyperlinks>
    <hyperlink ref="A83" r:id="rId1" display="http://www.informaecon-fnp.com/" xr:uid="{00000000-0004-0000-1300-000000000000}"/>
  </hyperlinks>
  <pageMargins left="0.7" right="0.7" top="0.75" bottom="0.75" header="0.3" footer="0.3"/>
  <pageSetup paperSize="9" scale="55" orientation="portrait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P147"/>
  <sheetViews>
    <sheetView showGridLines="0" topLeftCell="B133" workbookViewId="0">
      <selection activeCell="B147" sqref="B147:C147"/>
    </sheetView>
  </sheetViews>
  <sheetFormatPr defaultRowHeight="15" x14ac:dyDescent="0.25"/>
  <cols>
    <col min="1" max="1" width="4.5703125" style="291" customWidth="1"/>
    <col min="2" max="2" width="39.7109375" style="291" customWidth="1"/>
    <col min="3" max="3" width="50.85546875" style="291" customWidth="1"/>
    <col min="4" max="9" width="8.42578125" style="291" customWidth="1"/>
    <col min="10" max="10" width="8.85546875" style="291" customWidth="1"/>
    <col min="11" max="11" width="2.28515625" style="291" customWidth="1"/>
    <col min="12" max="12" width="11.85546875" style="291" customWidth="1"/>
    <col min="13" max="13" width="9.140625" style="291"/>
    <col min="14" max="14" width="3.7109375" style="291" bestFit="1" customWidth="1"/>
    <col min="15" max="16384" width="9.140625" style="291"/>
  </cols>
  <sheetData>
    <row r="1" spans="2:14" s="338" customFormat="1" x14ac:dyDescent="0.25"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</row>
    <row r="2" spans="2:14" s="338" customFormat="1" x14ac:dyDescent="0.25"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</row>
    <row r="3" spans="2:14" s="262" customFormat="1" ht="26.25" customHeight="1" x14ac:dyDescent="0.25">
      <c r="J3" s="263" t="s">
        <v>490</v>
      </c>
      <c r="M3" s="263"/>
    </row>
    <row r="4" spans="2:14" s="338" customFormat="1" ht="26.25" customHeight="1" x14ac:dyDescent="0.25">
      <c r="B4" s="337"/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  <c r="N4" s="337"/>
    </row>
    <row r="5" spans="2:14" s="338" customFormat="1" ht="26.25" customHeight="1" x14ac:dyDescent="0.25">
      <c r="B5" s="337"/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</row>
    <row r="6" spans="2:14" s="338" customFormat="1" ht="12.2" customHeight="1" x14ac:dyDescent="0.25">
      <c r="B6" s="337"/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7"/>
    </row>
    <row r="7" spans="2:14" s="338" customFormat="1" ht="12.2" customHeight="1" x14ac:dyDescent="0.25">
      <c r="B7" s="337"/>
      <c r="C7" s="337"/>
      <c r="D7" s="337"/>
      <c r="E7" s="337"/>
      <c r="F7" s="337"/>
      <c r="G7" s="337"/>
      <c r="H7" s="337"/>
      <c r="I7" s="337"/>
      <c r="J7" s="339" t="s">
        <v>675</v>
      </c>
      <c r="K7" s="337"/>
      <c r="L7" s="337"/>
      <c r="M7" s="337"/>
    </row>
    <row r="8" spans="2:14" s="337" customFormat="1" ht="38.25" customHeight="1" x14ac:dyDescent="0.25">
      <c r="B8" s="710" t="s">
        <v>676</v>
      </c>
      <c r="C8" s="711"/>
      <c r="D8" s="711"/>
      <c r="E8" s="711"/>
      <c r="F8" s="711"/>
      <c r="G8" s="711"/>
      <c r="H8" s="711"/>
      <c r="I8" s="711"/>
      <c r="J8" s="712"/>
    </row>
    <row r="9" spans="2:14" s="337" customFormat="1" x14ac:dyDescent="0.25">
      <c r="B9" s="340" t="s">
        <v>677</v>
      </c>
      <c r="C9" s="361" t="s">
        <v>678</v>
      </c>
      <c r="D9" s="361"/>
      <c r="E9" s="361"/>
      <c r="F9" s="361"/>
      <c r="G9" s="361"/>
      <c r="H9" s="361"/>
      <c r="I9" s="362"/>
      <c r="J9" s="406"/>
    </row>
    <row r="10" spans="2:14" s="337" customFormat="1" x14ac:dyDescent="0.25">
      <c r="B10" s="340" t="s">
        <v>679</v>
      </c>
      <c r="C10" s="361">
        <v>1143</v>
      </c>
      <c r="D10" s="361"/>
      <c r="E10" s="361"/>
      <c r="F10" s="361" t="s">
        <v>372</v>
      </c>
      <c r="G10" s="361"/>
      <c r="H10" s="361"/>
      <c r="I10" s="362" t="s">
        <v>680</v>
      </c>
      <c r="J10" s="406">
        <v>25</v>
      </c>
    </row>
    <row r="11" spans="2:14" s="337" customFormat="1" x14ac:dyDescent="0.25">
      <c r="B11" s="340" t="s">
        <v>681</v>
      </c>
      <c r="C11" s="361" t="s">
        <v>682</v>
      </c>
      <c r="D11" s="361"/>
      <c r="E11" s="361"/>
      <c r="F11" s="361"/>
      <c r="G11" s="361"/>
      <c r="H11" s="361"/>
      <c r="I11" s="362" t="s">
        <v>683</v>
      </c>
      <c r="J11" s="406">
        <v>30</v>
      </c>
    </row>
    <row r="12" spans="2:14" s="337" customFormat="1" x14ac:dyDescent="0.25">
      <c r="B12" s="340" t="s">
        <v>684</v>
      </c>
      <c r="C12" s="364" t="s">
        <v>685</v>
      </c>
      <c r="D12" s="713">
        <v>2</v>
      </c>
      <c r="E12" s="713"/>
      <c r="F12" s="361"/>
      <c r="G12" s="364"/>
      <c r="H12" s="364"/>
      <c r="I12" s="362"/>
      <c r="J12" s="407"/>
    </row>
    <row r="13" spans="2:14" ht="30.75" customHeight="1" x14ac:dyDescent="0.25">
      <c r="B13" s="714" t="s">
        <v>74</v>
      </c>
      <c r="C13" s="714" t="s">
        <v>268</v>
      </c>
      <c r="D13" s="717" t="s">
        <v>269</v>
      </c>
      <c r="E13" s="720" t="s">
        <v>686</v>
      </c>
      <c r="F13" s="721"/>
      <c r="G13" s="720" t="s">
        <v>687</v>
      </c>
      <c r="H13" s="721"/>
      <c r="I13" s="720" t="s">
        <v>688</v>
      </c>
      <c r="J13" s="721"/>
    </row>
    <row r="14" spans="2:14" ht="16.5" customHeight="1" x14ac:dyDescent="0.25">
      <c r="B14" s="715"/>
      <c r="C14" s="715"/>
      <c r="D14" s="718"/>
      <c r="E14" s="720" t="s">
        <v>27</v>
      </c>
      <c r="F14" s="721"/>
      <c r="G14" s="720" t="s">
        <v>28</v>
      </c>
      <c r="H14" s="721"/>
      <c r="I14" s="720" t="s">
        <v>689</v>
      </c>
      <c r="J14" s="721"/>
    </row>
    <row r="15" spans="2:14" ht="16.5" customHeight="1" x14ac:dyDescent="0.25">
      <c r="B15" s="716"/>
      <c r="C15" s="716"/>
      <c r="D15" s="719"/>
      <c r="E15" s="266" t="s">
        <v>605</v>
      </c>
      <c r="F15" s="266" t="s">
        <v>606</v>
      </c>
      <c r="G15" s="266" t="s">
        <v>607</v>
      </c>
      <c r="H15" s="266" t="s">
        <v>606</v>
      </c>
      <c r="I15" s="266" t="s">
        <v>607</v>
      </c>
      <c r="J15" s="266" t="s">
        <v>606</v>
      </c>
    </row>
    <row r="16" spans="2:14" x14ac:dyDescent="0.25">
      <c r="B16" s="667" t="s">
        <v>690</v>
      </c>
      <c r="C16" s="668"/>
      <c r="D16" s="668"/>
      <c r="E16" s="668"/>
      <c r="F16" s="668"/>
      <c r="G16" s="668"/>
      <c r="H16" s="668"/>
      <c r="I16" s="668"/>
      <c r="J16" s="668"/>
    </row>
    <row r="17" spans="2:10" x14ac:dyDescent="0.25">
      <c r="B17" s="273" t="s">
        <v>521</v>
      </c>
      <c r="C17" s="274"/>
      <c r="D17" s="274"/>
      <c r="E17" s="274"/>
      <c r="F17" s="274"/>
      <c r="G17" s="274"/>
      <c r="H17" s="274"/>
      <c r="I17" s="274"/>
      <c r="J17" s="274"/>
    </row>
    <row r="18" spans="2:10" x14ac:dyDescent="0.25">
      <c r="B18" s="271" t="s">
        <v>691</v>
      </c>
      <c r="C18" s="271" t="s">
        <v>692</v>
      </c>
      <c r="D18" s="278">
        <v>129.27000000000001</v>
      </c>
      <c r="E18" s="278">
        <v>3.1</v>
      </c>
      <c r="F18" s="278">
        <v>400.74</v>
      </c>
      <c r="G18" s="408"/>
      <c r="H18" s="408"/>
      <c r="I18" s="408"/>
      <c r="J18" s="408"/>
    </row>
    <row r="19" spans="2:10" x14ac:dyDescent="0.25">
      <c r="B19" s="269" t="s">
        <v>524</v>
      </c>
      <c r="C19" s="269" t="s">
        <v>693</v>
      </c>
      <c r="D19" s="279">
        <v>125.56</v>
      </c>
      <c r="E19" s="279">
        <v>1.4</v>
      </c>
      <c r="F19" s="279">
        <v>175.78</v>
      </c>
      <c r="G19" s="409"/>
      <c r="H19" s="409"/>
      <c r="I19" s="409"/>
      <c r="J19" s="409"/>
    </row>
    <row r="20" spans="2:10" x14ac:dyDescent="0.25">
      <c r="B20" s="271" t="s">
        <v>277</v>
      </c>
      <c r="C20" s="271" t="s">
        <v>526</v>
      </c>
      <c r="D20" s="278">
        <v>135.99</v>
      </c>
      <c r="E20" s="278">
        <v>1.55</v>
      </c>
      <c r="F20" s="278">
        <v>210.78</v>
      </c>
      <c r="G20" s="408"/>
      <c r="H20" s="408"/>
      <c r="I20" s="278">
        <v>1</v>
      </c>
      <c r="J20" s="278">
        <v>135.99</v>
      </c>
    </row>
    <row r="21" spans="2:10" x14ac:dyDescent="0.25">
      <c r="B21" s="269" t="s">
        <v>694</v>
      </c>
      <c r="C21" s="269" t="s">
        <v>695</v>
      </c>
      <c r="D21" s="279">
        <v>157.69999999999999</v>
      </c>
      <c r="E21" s="279">
        <v>0.7</v>
      </c>
      <c r="F21" s="279">
        <v>110.39</v>
      </c>
      <c r="G21" s="409"/>
      <c r="H21" s="409"/>
      <c r="I21" s="409"/>
      <c r="J21" s="409"/>
    </row>
    <row r="22" spans="2:10" x14ac:dyDescent="0.25">
      <c r="B22" s="271" t="s">
        <v>531</v>
      </c>
      <c r="C22" s="271" t="s">
        <v>696</v>
      </c>
      <c r="D22" s="278">
        <v>306.83</v>
      </c>
      <c r="E22" s="278">
        <v>0.4</v>
      </c>
      <c r="F22" s="278">
        <v>122.73</v>
      </c>
      <c r="G22" s="408"/>
      <c r="H22" s="408"/>
      <c r="I22" s="408"/>
      <c r="J22" s="408"/>
    </row>
    <row r="23" spans="2:10" x14ac:dyDescent="0.25">
      <c r="B23" s="273" t="s">
        <v>533</v>
      </c>
      <c r="C23" s="274"/>
      <c r="D23" s="398"/>
      <c r="E23" s="398"/>
      <c r="F23" s="398"/>
      <c r="G23" s="398"/>
      <c r="H23" s="398"/>
      <c r="I23" s="398"/>
      <c r="J23" s="398"/>
    </row>
    <row r="24" spans="2:10" x14ac:dyDescent="0.25">
      <c r="B24" s="271" t="s">
        <v>697</v>
      </c>
      <c r="C24" s="271" t="s">
        <v>698</v>
      </c>
      <c r="D24" s="278">
        <v>75.39</v>
      </c>
      <c r="E24" s="278">
        <v>2.8</v>
      </c>
      <c r="F24" s="278">
        <v>211.09</v>
      </c>
      <c r="G24" s="408"/>
      <c r="H24" s="408"/>
      <c r="I24" s="408"/>
      <c r="J24" s="408"/>
    </row>
    <row r="25" spans="2:10" x14ac:dyDescent="0.25">
      <c r="B25" s="269" t="s">
        <v>699</v>
      </c>
      <c r="C25" s="269" t="s">
        <v>700</v>
      </c>
      <c r="D25" s="279">
        <v>76.47</v>
      </c>
      <c r="E25" s="279">
        <v>6</v>
      </c>
      <c r="F25" s="279">
        <v>458.83</v>
      </c>
      <c r="G25" s="409"/>
      <c r="H25" s="409"/>
      <c r="I25" s="409"/>
      <c r="J25" s="409"/>
    </row>
    <row r="26" spans="2:10" x14ac:dyDescent="0.25">
      <c r="B26" s="271" t="s">
        <v>538</v>
      </c>
      <c r="C26" s="271" t="s">
        <v>700</v>
      </c>
      <c r="D26" s="278">
        <v>76.47</v>
      </c>
      <c r="E26" s="278">
        <v>1</v>
      </c>
      <c r="F26" s="278">
        <v>76.47</v>
      </c>
      <c r="G26" s="408"/>
      <c r="H26" s="408"/>
      <c r="I26" s="408"/>
      <c r="J26" s="408"/>
    </row>
    <row r="27" spans="2:10" x14ac:dyDescent="0.25">
      <c r="B27" s="269" t="s">
        <v>701</v>
      </c>
      <c r="C27" s="269" t="s">
        <v>700</v>
      </c>
      <c r="D27" s="279">
        <v>76.47</v>
      </c>
      <c r="E27" s="279">
        <v>25</v>
      </c>
      <c r="F27" s="279">
        <v>1911.81</v>
      </c>
      <c r="G27" s="409"/>
      <c r="H27" s="409"/>
      <c r="I27" s="409"/>
      <c r="J27" s="409"/>
    </row>
    <row r="28" spans="2:10" x14ac:dyDescent="0.25">
      <c r="B28" s="267" t="s">
        <v>540</v>
      </c>
      <c r="C28" s="268"/>
      <c r="D28" s="402"/>
      <c r="E28" s="402"/>
      <c r="F28" s="402"/>
      <c r="G28" s="402"/>
      <c r="H28" s="402"/>
      <c r="I28" s="402"/>
      <c r="J28" s="402"/>
    </row>
    <row r="29" spans="2:10" x14ac:dyDescent="0.25">
      <c r="B29" s="269" t="s">
        <v>702</v>
      </c>
      <c r="C29" s="410" t="s">
        <v>703</v>
      </c>
      <c r="D29" s="279">
        <v>92.67</v>
      </c>
      <c r="E29" s="279">
        <v>30</v>
      </c>
      <c r="F29" s="279">
        <v>2780.11</v>
      </c>
      <c r="G29" s="279">
        <v>120</v>
      </c>
      <c r="H29" s="279">
        <v>11120.46</v>
      </c>
      <c r="I29" s="279">
        <v>120</v>
      </c>
      <c r="J29" s="279">
        <v>11120.46</v>
      </c>
    </row>
    <row r="30" spans="2:10" x14ac:dyDescent="0.25">
      <c r="B30" s="271" t="s">
        <v>704</v>
      </c>
      <c r="C30" s="271" t="s">
        <v>705</v>
      </c>
      <c r="D30" s="278">
        <v>82.93</v>
      </c>
      <c r="E30" s="278">
        <v>1</v>
      </c>
      <c r="F30" s="278">
        <v>829.26</v>
      </c>
      <c r="G30" s="278">
        <v>25</v>
      </c>
      <c r="H30" s="278">
        <v>2073.16</v>
      </c>
      <c r="I30" s="278">
        <v>25</v>
      </c>
      <c r="J30" s="278">
        <v>2073.16</v>
      </c>
    </row>
    <row r="31" spans="2:10" x14ac:dyDescent="0.25">
      <c r="B31" s="269" t="s">
        <v>706</v>
      </c>
      <c r="C31" s="269" t="s">
        <v>700</v>
      </c>
      <c r="D31" s="279">
        <v>76.47</v>
      </c>
      <c r="E31" s="409"/>
      <c r="F31" s="409"/>
      <c r="G31" s="279">
        <v>10</v>
      </c>
      <c r="H31" s="279">
        <v>764.72</v>
      </c>
      <c r="I31" s="279">
        <v>10</v>
      </c>
      <c r="J31" s="279">
        <v>764.72</v>
      </c>
    </row>
    <row r="32" spans="2:10" x14ac:dyDescent="0.25">
      <c r="B32" s="271" t="s">
        <v>545</v>
      </c>
      <c r="C32" s="271" t="s">
        <v>707</v>
      </c>
      <c r="D32" s="278">
        <v>81.510000000000005</v>
      </c>
      <c r="E32" s="278">
        <v>2</v>
      </c>
      <c r="F32" s="278">
        <v>163.03</v>
      </c>
      <c r="G32" s="278">
        <v>4</v>
      </c>
      <c r="H32" s="278">
        <v>326.05</v>
      </c>
      <c r="I32" s="278">
        <v>4</v>
      </c>
      <c r="J32" s="278">
        <v>326.05</v>
      </c>
    </row>
    <row r="33" spans="2:12" x14ac:dyDescent="0.25">
      <c r="B33" s="269" t="s">
        <v>551</v>
      </c>
      <c r="C33" s="269" t="s">
        <v>708</v>
      </c>
      <c r="D33" s="279">
        <v>76.680000000000007</v>
      </c>
      <c r="E33" s="279">
        <v>0.3</v>
      </c>
      <c r="F33" s="279">
        <v>23</v>
      </c>
      <c r="G33" s="279">
        <v>0.6</v>
      </c>
      <c r="H33" s="279">
        <v>46.01</v>
      </c>
      <c r="I33" s="279">
        <v>0.6</v>
      </c>
      <c r="J33" s="279">
        <v>46.01</v>
      </c>
    </row>
    <row r="34" spans="2:12" x14ac:dyDescent="0.25">
      <c r="B34" s="267" t="s">
        <v>709</v>
      </c>
      <c r="C34" s="268"/>
      <c r="D34" s="402"/>
      <c r="E34" s="402"/>
      <c r="F34" s="402"/>
      <c r="G34" s="402"/>
      <c r="H34" s="402"/>
      <c r="I34" s="402"/>
      <c r="J34" s="402"/>
    </row>
    <row r="35" spans="2:12" x14ac:dyDescent="0.25">
      <c r="B35" s="269" t="s">
        <v>554</v>
      </c>
      <c r="C35" s="269" t="s">
        <v>17</v>
      </c>
      <c r="D35" s="279">
        <v>1319.51</v>
      </c>
      <c r="E35" s="409"/>
      <c r="F35" s="409"/>
      <c r="G35" s="279">
        <v>2</v>
      </c>
      <c r="H35" s="279">
        <v>2639.02</v>
      </c>
      <c r="I35" s="279">
        <v>2</v>
      </c>
      <c r="J35" s="279">
        <v>2639.02</v>
      </c>
    </row>
    <row r="36" spans="2:12" x14ac:dyDescent="0.25">
      <c r="B36" s="267" t="s">
        <v>555</v>
      </c>
      <c r="C36" s="268"/>
      <c r="D36" s="402"/>
      <c r="E36" s="402"/>
      <c r="F36" s="402"/>
      <c r="G36" s="402"/>
      <c r="H36" s="402"/>
      <c r="I36" s="402"/>
      <c r="J36" s="402"/>
    </row>
    <row r="37" spans="2:12" x14ac:dyDescent="0.25">
      <c r="B37" s="269" t="s">
        <v>710</v>
      </c>
      <c r="C37" s="269" t="s">
        <v>700</v>
      </c>
      <c r="D37" s="279">
        <v>76.47</v>
      </c>
      <c r="E37" s="409"/>
      <c r="F37" s="409"/>
      <c r="G37" s="279">
        <v>56.16</v>
      </c>
      <c r="H37" s="279">
        <v>4294.68</v>
      </c>
      <c r="I37" s="279">
        <v>74.88</v>
      </c>
      <c r="J37" s="279">
        <v>5726.24</v>
      </c>
    </row>
    <row r="38" spans="2:12" x14ac:dyDescent="0.25">
      <c r="B38" s="267" t="s">
        <v>616</v>
      </c>
      <c r="C38" s="268"/>
      <c r="D38" s="268"/>
      <c r="E38" s="268"/>
      <c r="F38" s="277">
        <v>7474.0199999999995</v>
      </c>
      <c r="G38" s="268"/>
      <c r="H38" s="277">
        <v>21264.09</v>
      </c>
      <c r="I38" s="268"/>
      <c r="J38" s="277">
        <v>22831.63</v>
      </c>
    </row>
    <row r="39" spans="2:12" x14ac:dyDescent="0.25">
      <c r="B39" s="667" t="s">
        <v>711</v>
      </c>
      <c r="C39" s="668"/>
      <c r="D39" s="668"/>
      <c r="E39" s="668"/>
      <c r="F39" s="668"/>
      <c r="G39" s="668"/>
      <c r="H39" s="668"/>
      <c r="I39" s="668"/>
      <c r="J39" s="668"/>
    </row>
    <row r="40" spans="2:12" x14ac:dyDescent="0.25">
      <c r="B40" s="267" t="s">
        <v>556</v>
      </c>
      <c r="C40" s="268"/>
      <c r="D40" s="402"/>
      <c r="E40" s="402"/>
      <c r="F40" s="402"/>
      <c r="G40" s="402"/>
      <c r="H40" s="402"/>
      <c r="I40" s="402"/>
      <c r="J40" s="402"/>
    </row>
    <row r="41" spans="2:12" x14ac:dyDescent="0.25">
      <c r="B41" s="269" t="s">
        <v>277</v>
      </c>
      <c r="C41" s="269" t="s">
        <v>413</v>
      </c>
      <c r="D41" s="279">
        <v>61.39</v>
      </c>
      <c r="E41" s="279">
        <v>0.25</v>
      </c>
      <c r="F41" s="279">
        <v>15.3</v>
      </c>
      <c r="G41" s="409"/>
      <c r="H41" s="409"/>
      <c r="I41" s="279">
        <v>0.13</v>
      </c>
      <c r="J41" s="279">
        <v>7.95</v>
      </c>
    </row>
    <row r="42" spans="2:12" x14ac:dyDescent="0.25">
      <c r="B42" s="271" t="s">
        <v>414</v>
      </c>
      <c r="C42" s="271" t="s">
        <v>415</v>
      </c>
      <c r="D42" s="278">
        <v>431.61</v>
      </c>
      <c r="E42" s="278">
        <v>0.2</v>
      </c>
      <c r="F42" s="278">
        <v>86.32</v>
      </c>
      <c r="G42" s="408"/>
      <c r="H42" s="408"/>
      <c r="I42" s="408"/>
      <c r="J42" s="408"/>
    </row>
    <row r="43" spans="2:12" x14ac:dyDescent="0.25">
      <c r="B43" s="273" t="s">
        <v>557</v>
      </c>
      <c r="C43" s="274"/>
      <c r="D43" s="398"/>
      <c r="E43" s="398"/>
      <c r="F43" s="398"/>
      <c r="G43" s="398"/>
      <c r="H43" s="398"/>
      <c r="I43" s="398"/>
      <c r="J43" s="398"/>
    </row>
    <row r="44" spans="2:12" x14ac:dyDescent="0.25">
      <c r="B44" s="271" t="s">
        <v>712</v>
      </c>
      <c r="C44" s="271" t="s">
        <v>413</v>
      </c>
      <c r="D44" s="278">
        <v>61.39</v>
      </c>
      <c r="E44" s="278">
        <v>4</v>
      </c>
      <c r="F44" s="278">
        <v>244.76</v>
      </c>
      <c r="G44" s="408"/>
      <c r="H44" s="408"/>
      <c r="I44" s="408"/>
      <c r="J44" s="408"/>
    </row>
    <row r="45" spans="2:12" x14ac:dyDescent="0.25">
      <c r="B45" s="269" t="s">
        <v>558</v>
      </c>
      <c r="C45" s="269" t="s">
        <v>413</v>
      </c>
      <c r="D45" s="279">
        <v>61.39</v>
      </c>
      <c r="E45" s="279">
        <v>3</v>
      </c>
      <c r="F45" s="279">
        <v>183.57</v>
      </c>
      <c r="G45" s="409"/>
      <c r="H45" s="409"/>
      <c r="I45" s="409"/>
      <c r="J45" s="409"/>
    </row>
    <row r="46" spans="2:12" x14ac:dyDescent="0.25">
      <c r="B46" s="271" t="s">
        <v>697</v>
      </c>
      <c r="C46" s="271" t="s">
        <v>413</v>
      </c>
      <c r="D46" s="278">
        <v>61.39</v>
      </c>
      <c r="E46" s="278">
        <v>0.24</v>
      </c>
      <c r="F46" s="278">
        <v>14.69</v>
      </c>
      <c r="G46" s="408"/>
      <c r="H46" s="408"/>
      <c r="I46" s="408"/>
      <c r="J46" s="408"/>
    </row>
    <row r="47" spans="2:12" x14ac:dyDescent="0.25">
      <c r="B47" s="269" t="s">
        <v>713</v>
      </c>
      <c r="C47" s="269" t="s">
        <v>413</v>
      </c>
      <c r="D47" s="279">
        <v>61.39</v>
      </c>
      <c r="E47" s="279">
        <v>2.5</v>
      </c>
      <c r="F47" s="279">
        <v>152.97999999999999</v>
      </c>
      <c r="G47" s="409"/>
      <c r="H47" s="409"/>
      <c r="I47" s="409"/>
      <c r="J47" s="409"/>
    </row>
    <row r="48" spans="2:12" x14ac:dyDescent="0.25">
      <c r="B48" s="271" t="s">
        <v>714</v>
      </c>
      <c r="C48" s="271" t="s">
        <v>413</v>
      </c>
      <c r="D48" s="278">
        <v>61.39</v>
      </c>
      <c r="E48" s="278">
        <v>2</v>
      </c>
      <c r="F48" s="278">
        <v>122.38</v>
      </c>
      <c r="G48" s="408"/>
      <c r="H48" s="408"/>
      <c r="I48" s="408"/>
      <c r="J48" s="408"/>
      <c r="L48" s="666" t="s">
        <v>205</v>
      </c>
    </row>
    <row r="49" spans="2:12" x14ac:dyDescent="0.25">
      <c r="B49" s="269" t="s">
        <v>715</v>
      </c>
      <c r="C49" s="269" t="s">
        <v>413</v>
      </c>
      <c r="D49" s="279">
        <v>61.39</v>
      </c>
      <c r="E49" s="279">
        <v>8</v>
      </c>
      <c r="F49" s="279">
        <v>489.53</v>
      </c>
      <c r="G49" s="409"/>
      <c r="H49" s="409"/>
      <c r="I49" s="409"/>
      <c r="J49" s="409"/>
      <c r="L49" s="666"/>
    </row>
    <row r="50" spans="2:12" x14ac:dyDescent="0.25">
      <c r="B50" s="271" t="s">
        <v>420</v>
      </c>
      <c r="C50" s="271" t="s">
        <v>413</v>
      </c>
      <c r="D50" s="278">
        <v>61.39</v>
      </c>
      <c r="E50" s="278">
        <v>12</v>
      </c>
      <c r="F50" s="278">
        <v>734.29</v>
      </c>
      <c r="G50" s="408"/>
      <c r="H50" s="408"/>
      <c r="I50" s="408"/>
      <c r="J50" s="408"/>
      <c r="L50" s="666"/>
    </row>
    <row r="51" spans="2:12" x14ac:dyDescent="0.25">
      <c r="B51" s="269" t="s">
        <v>716</v>
      </c>
      <c r="C51" s="269" t="s">
        <v>413</v>
      </c>
      <c r="D51" s="279">
        <v>61.39</v>
      </c>
      <c r="E51" s="279">
        <v>12</v>
      </c>
      <c r="F51" s="279">
        <v>734.29</v>
      </c>
      <c r="G51" s="409"/>
      <c r="H51" s="409"/>
      <c r="I51" s="409"/>
      <c r="J51" s="409"/>
      <c r="L51" s="666"/>
    </row>
    <row r="52" spans="2:12" x14ac:dyDescent="0.25">
      <c r="B52" s="271" t="s">
        <v>538</v>
      </c>
      <c r="C52" s="271" t="s">
        <v>413</v>
      </c>
      <c r="D52" s="278">
        <v>61.39</v>
      </c>
      <c r="E52" s="278">
        <v>10</v>
      </c>
      <c r="F52" s="278">
        <v>611.91</v>
      </c>
      <c r="G52" s="408"/>
      <c r="H52" s="408"/>
      <c r="I52" s="408"/>
      <c r="J52" s="408"/>
      <c r="L52" s="666"/>
    </row>
    <row r="53" spans="2:12" x14ac:dyDescent="0.25">
      <c r="B53" s="269" t="s">
        <v>701</v>
      </c>
      <c r="C53" s="269" t="s">
        <v>413</v>
      </c>
      <c r="D53" s="279">
        <v>61.39</v>
      </c>
      <c r="E53" s="279">
        <v>120</v>
      </c>
      <c r="F53" s="279">
        <v>7342.92</v>
      </c>
      <c r="G53" s="409"/>
      <c r="H53" s="409"/>
      <c r="I53" s="409"/>
      <c r="J53" s="409"/>
      <c r="L53" s="666"/>
    </row>
    <row r="54" spans="2:12" x14ac:dyDescent="0.25">
      <c r="B54" s="267" t="s">
        <v>562</v>
      </c>
      <c r="C54" s="268"/>
      <c r="D54" s="402"/>
      <c r="E54" s="402"/>
      <c r="F54" s="402"/>
      <c r="G54" s="402"/>
      <c r="H54" s="402"/>
      <c r="I54" s="402"/>
      <c r="J54" s="402"/>
      <c r="L54" s="666"/>
    </row>
    <row r="55" spans="2:12" x14ac:dyDescent="0.25">
      <c r="B55" s="269" t="s">
        <v>717</v>
      </c>
      <c r="C55" s="269" t="s">
        <v>413</v>
      </c>
      <c r="D55" s="279">
        <v>61.39</v>
      </c>
      <c r="E55" s="279">
        <v>7</v>
      </c>
      <c r="F55" s="279">
        <v>428.34</v>
      </c>
      <c r="G55" s="409"/>
      <c r="H55" s="409"/>
      <c r="I55" s="409"/>
      <c r="J55" s="409"/>
      <c r="L55" s="666"/>
    </row>
    <row r="56" spans="2:12" x14ac:dyDescent="0.25">
      <c r="B56" s="271" t="s">
        <v>718</v>
      </c>
      <c r="C56" s="271" t="s">
        <v>413</v>
      </c>
      <c r="D56" s="278">
        <v>61.39</v>
      </c>
      <c r="E56" s="278">
        <v>30</v>
      </c>
      <c r="F56" s="278">
        <v>1835.73</v>
      </c>
      <c r="G56" s="278">
        <v>60</v>
      </c>
      <c r="H56" s="278">
        <v>3671.46</v>
      </c>
      <c r="I56" s="278">
        <v>60</v>
      </c>
      <c r="J56" s="278">
        <v>3671.46</v>
      </c>
      <c r="L56" s="666"/>
    </row>
    <row r="57" spans="2:12" x14ac:dyDescent="0.25">
      <c r="B57" s="269" t="s">
        <v>719</v>
      </c>
      <c r="C57" s="269" t="s">
        <v>413</v>
      </c>
      <c r="D57" s="279">
        <v>61.39</v>
      </c>
      <c r="E57" s="409"/>
      <c r="F57" s="409"/>
      <c r="G57" s="279">
        <v>25.2</v>
      </c>
      <c r="H57" s="279">
        <v>1542.01</v>
      </c>
      <c r="I57" s="279">
        <v>39.200000000000003</v>
      </c>
      <c r="J57" s="279">
        <v>2398.69</v>
      </c>
      <c r="L57" s="666"/>
    </row>
    <row r="58" spans="2:12" x14ac:dyDescent="0.25">
      <c r="B58" s="271" t="s">
        <v>720</v>
      </c>
      <c r="C58" s="271" t="s">
        <v>413</v>
      </c>
      <c r="D58" s="278">
        <v>61.39</v>
      </c>
      <c r="E58" s="278">
        <v>72</v>
      </c>
      <c r="F58" s="278">
        <v>4405.75</v>
      </c>
      <c r="G58" s="278">
        <v>60</v>
      </c>
      <c r="H58" s="278">
        <v>3671.46</v>
      </c>
      <c r="I58" s="278">
        <v>80</v>
      </c>
      <c r="J58" s="278">
        <v>4895.28</v>
      </c>
      <c r="L58" s="666"/>
    </row>
    <row r="59" spans="2:12" x14ac:dyDescent="0.25">
      <c r="B59" s="269" t="s">
        <v>721</v>
      </c>
      <c r="C59" s="269" t="s">
        <v>413</v>
      </c>
      <c r="D59" s="279">
        <v>61.39</v>
      </c>
      <c r="E59" s="409"/>
      <c r="F59" s="409"/>
      <c r="G59" s="279">
        <v>61.6</v>
      </c>
      <c r="H59" s="279">
        <v>3769.37</v>
      </c>
      <c r="I59" s="279">
        <v>87.2</v>
      </c>
      <c r="J59" s="279">
        <v>5335.86</v>
      </c>
    </row>
    <row r="60" spans="2:12" ht="15" customHeight="1" x14ac:dyDescent="0.25">
      <c r="B60" s="271" t="s">
        <v>722</v>
      </c>
      <c r="C60" s="271" t="s">
        <v>413</v>
      </c>
      <c r="D60" s="278">
        <v>61.39</v>
      </c>
      <c r="E60" s="408"/>
      <c r="F60" s="408"/>
      <c r="G60" s="278">
        <v>56</v>
      </c>
      <c r="H60" s="278">
        <v>3426.7</v>
      </c>
      <c r="I60" s="278">
        <v>64</v>
      </c>
      <c r="J60" s="278">
        <v>3916.22</v>
      </c>
    </row>
    <row r="61" spans="2:12" x14ac:dyDescent="0.25">
      <c r="B61" s="269" t="s">
        <v>723</v>
      </c>
      <c r="C61" s="269" t="s">
        <v>413</v>
      </c>
      <c r="D61" s="279">
        <v>61.39</v>
      </c>
      <c r="E61" s="409"/>
      <c r="F61" s="409"/>
      <c r="G61" s="279">
        <v>56</v>
      </c>
      <c r="H61" s="279">
        <v>3426.7</v>
      </c>
      <c r="I61" s="279">
        <v>64</v>
      </c>
      <c r="J61" s="279">
        <v>3916.22</v>
      </c>
    </row>
    <row r="62" spans="2:12" x14ac:dyDescent="0.25">
      <c r="B62" s="271" t="s">
        <v>724</v>
      </c>
      <c r="C62" s="271" t="s">
        <v>413</v>
      </c>
      <c r="D62" s="278">
        <v>61.39</v>
      </c>
      <c r="E62" s="408"/>
      <c r="F62" s="408"/>
      <c r="G62" s="278">
        <v>88</v>
      </c>
      <c r="H62" s="278">
        <v>5384.81</v>
      </c>
      <c r="I62" s="278">
        <v>96</v>
      </c>
      <c r="J62" s="278">
        <v>5874.34</v>
      </c>
    </row>
    <row r="63" spans="2:12" x14ac:dyDescent="0.25">
      <c r="B63" s="269" t="s">
        <v>725</v>
      </c>
      <c r="C63" s="269" t="s">
        <v>413</v>
      </c>
      <c r="D63" s="279">
        <v>61.39</v>
      </c>
      <c r="E63" s="409"/>
      <c r="F63" s="409"/>
      <c r="G63" s="279">
        <v>180</v>
      </c>
      <c r="H63" s="279">
        <v>11014.38</v>
      </c>
      <c r="I63" s="279">
        <v>180</v>
      </c>
      <c r="J63" s="279">
        <v>11014.38</v>
      </c>
    </row>
    <row r="64" spans="2:12" x14ac:dyDescent="0.25">
      <c r="B64" s="271" t="s">
        <v>726</v>
      </c>
      <c r="C64" s="271" t="s">
        <v>413</v>
      </c>
      <c r="D64" s="278">
        <v>61.39</v>
      </c>
      <c r="E64" s="408"/>
      <c r="F64" s="408"/>
      <c r="G64" s="278">
        <v>320</v>
      </c>
      <c r="H64" s="278">
        <v>19581.12</v>
      </c>
      <c r="I64" s="278">
        <v>320</v>
      </c>
      <c r="J64" s="278">
        <v>19581.12</v>
      </c>
    </row>
    <row r="65" spans="2:10" x14ac:dyDescent="0.25">
      <c r="B65" s="269" t="s">
        <v>727</v>
      </c>
      <c r="C65" s="269" t="s">
        <v>413</v>
      </c>
      <c r="D65" s="279">
        <v>61.39</v>
      </c>
      <c r="E65" s="409"/>
      <c r="F65" s="409"/>
      <c r="G65" s="279">
        <v>40</v>
      </c>
      <c r="H65" s="279">
        <v>2447.64</v>
      </c>
      <c r="I65" s="279">
        <v>46</v>
      </c>
      <c r="J65" s="279">
        <v>2814.79</v>
      </c>
    </row>
    <row r="66" spans="2:10" x14ac:dyDescent="0.25">
      <c r="B66" s="271" t="s">
        <v>728</v>
      </c>
      <c r="C66" s="271" t="s">
        <v>413</v>
      </c>
      <c r="D66" s="278">
        <v>61.39</v>
      </c>
      <c r="E66" s="408"/>
      <c r="F66" s="408"/>
      <c r="G66" s="278">
        <v>24.4</v>
      </c>
      <c r="H66" s="278">
        <v>1493.06</v>
      </c>
      <c r="I66" s="278">
        <v>28.8</v>
      </c>
      <c r="J66" s="278">
        <v>1762.3</v>
      </c>
    </row>
    <row r="67" spans="2:10" x14ac:dyDescent="0.25">
      <c r="B67" s="269" t="s">
        <v>729</v>
      </c>
      <c r="C67" s="269" t="s">
        <v>413</v>
      </c>
      <c r="D67" s="279">
        <v>61.39</v>
      </c>
      <c r="E67" s="409"/>
      <c r="F67" s="409"/>
      <c r="G67" s="279">
        <v>78</v>
      </c>
      <c r="H67" s="279">
        <v>4772.8999999999996</v>
      </c>
      <c r="I67" s="279">
        <v>86.4</v>
      </c>
      <c r="J67" s="279">
        <v>5286.9</v>
      </c>
    </row>
    <row r="68" spans="2:10" x14ac:dyDescent="0.25">
      <c r="B68" s="271" t="s">
        <v>730</v>
      </c>
      <c r="C68" s="271" t="s">
        <v>413</v>
      </c>
      <c r="D68" s="278">
        <v>61.39</v>
      </c>
      <c r="E68" s="278">
        <v>6</v>
      </c>
      <c r="F68" s="278">
        <v>367.15</v>
      </c>
      <c r="G68" s="278">
        <v>4.8</v>
      </c>
      <c r="H68" s="278">
        <v>293.72000000000003</v>
      </c>
      <c r="I68" s="278">
        <v>2.4</v>
      </c>
      <c r="J68" s="278">
        <v>146.86000000000001</v>
      </c>
    </row>
    <row r="69" spans="2:10" x14ac:dyDescent="0.25">
      <c r="B69" s="273" t="s">
        <v>731</v>
      </c>
      <c r="C69" s="274"/>
      <c r="D69" s="398"/>
      <c r="E69" s="398"/>
      <c r="F69" s="398"/>
      <c r="G69" s="398"/>
      <c r="H69" s="398"/>
      <c r="I69" s="398"/>
      <c r="J69" s="398"/>
    </row>
    <row r="70" spans="2:10" x14ac:dyDescent="0.25">
      <c r="B70" s="271" t="s">
        <v>554</v>
      </c>
      <c r="C70" s="271" t="s">
        <v>413</v>
      </c>
      <c r="D70" s="278">
        <v>61.39</v>
      </c>
      <c r="E70" s="278">
        <v>3.13</v>
      </c>
      <c r="F70" s="278">
        <v>191.22</v>
      </c>
      <c r="G70" s="278">
        <v>6.26</v>
      </c>
      <c r="H70" s="278">
        <v>383.06</v>
      </c>
      <c r="I70" s="278">
        <v>6.26</v>
      </c>
      <c r="J70" s="278">
        <v>383.06</v>
      </c>
    </row>
    <row r="71" spans="2:10" x14ac:dyDescent="0.25">
      <c r="B71" s="273" t="s">
        <v>732</v>
      </c>
      <c r="C71" s="274"/>
      <c r="D71" s="398"/>
      <c r="E71" s="398"/>
      <c r="F71" s="398"/>
      <c r="G71" s="398"/>
      <c r="H71" s="398"/>
      <c r="I71" s="398"/>
      <c r="J71" s="398"/>
    </row>
    <row r="72" spans="2:10" x14ac:dyDescent="0.25">
      <c r="B72" s="271" t="s">
        <v>733</v>
      </c>
      <c r="C72" s="271" t="s">
        <v>413</v>
      </c>
      <c r="D72" s="278">
        <v>61.39</v>
      </c>
      <c r="E72" s="408"/>
      <c r="F72" s="408"/>
      <c r="G72" s="278">
        <v>29.88</v>
      </c>
      <c r="H72" s="278">
        <v>1828.39</v>
      </c>
      <c r="I72" s="278">
        <v>39.96</v>
      </c>
      <c r="J72" s="278">
        <v>2445.19</v>
      </c>
    </row>
    <row r="73" spans="2:10" x14ac:dyDescent="0.25">
      <c r="B73" s="269" t="s">
        <v>734</v>
      </c>
      <c r="C73" s="269" t="s">
        <v>413</v>
      </c>
      <c r="D73" s="279">
        <v>61.39</v>
      </c>
      <c r="E73" s="409"/>
      <c r="F73" s="409"/>
      <c r="G73" s="279">
        <v>7.02</v>
      </c>
      <c r="H73" s="279">
        <v>429.56</v>
      </c>
      <c r="I73" s="279">
        <v>9.36</v>
      </c>
      <c r="J73" s="279">
        <v>572.75</v>
      </c>
    </row>
    <row r="74" spans="2:10" x14ac:dyDescent="0.25">
      <c r="B74" s="267" t="s">
        <v>735</v>
      </c>
      <c r="C74" s="268"/>
      <c r="D74" s="402"/>
      <c r="E74" s="402"/>
      <c r="F74" s="411">
        <v>17961.130000000005</v>
      </c>
      <c r="G74" s="402"/>
      <c r="H74" s="411">
        <v>67136.34</v>
      </c>
      <c r="I74" s="402"/>
      <c r="J74" s="411">
        <v>74023.37000000001</v>
      </c>
    </row>
    <row r="75" spans="2:10" x14ac:dyDescent="0.25">
      <c r="B75" s="267" t="s">
        <v>435</v>
      </c>
      <c r="C75" s="268"/>
      <c r="D75" s="268"/>
      <c r="E75" s="268"/>
      <c r="F75" s="411">
        <v>25435</v>
      </c>
      <c r="G75" s="268"/>
      <c r="H75" s="411">
        <v>88400</v>
      </c>
      <c r="I75" s="268"/>
      <c r="J75" s="411">
        <v>96855</v>
      </c>
    </row>
    <row r="76" spans="2:10" x14ac:dyDescent="0.25">
      <c r="B76" s="667" t="s">
        <v>436</v>
      </c>
      <c r="C76" s="668"/>
      <c r="D76" s="668"/>
      <c r="E76" s="668"/>
      <c r="F76" s="668"/>
      <c r="G76" s="668"/>
      <c r="H76" s="668"/>
      <c r="I76" s="668"/>
      <c r="J76" s="668"/>
    </row>
    <row r="77" spans="2:10" x14ac:dyDescent="0.25">
      <c r="B77" s="273" t="s">
        <v>736</v>
      </c>
      <c r="C77" s="274"/>
      <c r="D77" s="274"/>
      <c r="E77" s="274"/>
      <c r="F77" s="274"/>
      <c r="G77" s="274"/>
      <c r="H77" s="274"/>
      <c r="I77" s="274"/>
      <c r="J77" s="274"/>
    </row>
    <row r="78" spans="2:10" x14ac:dyDescent="0.25">
      <c r="B78" s="271" t="s">
        <v>617</v>
      </c>
      <c r="C78" s="271" t="s">
        <v>320</v>
      </c>
      <c r="D78" s="272">
        <v>284.60000000000002</v>
      </c>
      <c r="E78" s="272">
        <v>3</v>
      </c>
      <c r="F78" s="272">
        <v>853.8</v>
      </c>
      <c r="G78" s="275"/>
      <c r="H78" s="275"/>
      <c r="I78" s="272">
        <v>1.25</v>
      </c>
      <c r="J78" s="272">
        <v>355.75</v>
      </c>
    </row>
    <row r="79" spans="2:10" x14ac:dyDescent="0.25">
      <c r="B79" s="269" t="s">
        <v>737</v>
      </c>
      <c r="C79" s="269" t="s">
        <v>320</v>
      </c>
      <c r="D79" s="412">
        <v>1047</v>
      </c>
      <c r="E79" s="270">
        <v>0.33</v>
      </c>
      <c r="F79" s="270">
        <v>345.44</v>
      </c>
      <c r="G79" s="270">
        <v>2.78</v>
      </c>
      <c r="H79" s="279">
        <v>2910.1</v>
      </c>
      <c r="I79" s="270">
        <v>5.56</v>
      </c>
      <c r="J79" s="279">
        <v>5820.21</v>
      </c>
    </row>
    <row r="80" spans="2:10" x14ac:dyDescent="0.25">
      <c r="B80" s="271" t="s">
        <v>322</v>
      </c>
      <c r="C80" s="271" t="s">
        <v>320</v>
      </c>
      <c r="D80" s="413">
        <v>1842</v>
      </c>
      <c r="E80" s="272">
        <v>6</v>
      </c>
      <c r="F80" s="278">
        <v>1105.42</v>
      </c>
      <c r="G80" s="272">
        <v>1.5</v>
      </c>
      <c r="H80" s="278">
        <v>2763.55</v>
      </c>
      <c r="I80" s="272">
        <v>3</v>
      </c>
      <c r="J80" s="278">
        <v>5527.1</v>
      </c>
    </row>
    <row r="81" spans="2:10" x14ac:dyDescent="0.25">
      <c r="B81" s="269" t="s">
        <v>323</v>
      </c>
      <c r="C81" s="269" t="s">
        <v>320</v>
      </c>
      <c r="D81" s="412">
        <v>1842</v>
      </c>
      <c r="E81" s="270">
        <v>0.14000000000000001</v>
      </c>
      <c r="F81" s="270">
        <v>257.93</v>
      </c>
      <c r="G81" s="410"/>
      <c r="H81" s="410"/>
      <c r="I81" s="410"/>
      <c r="J81" s="410"/>
    </row>
    <row r="82" spans="2:10" x14ac:dyDescent="0.25">
      <c r="B82" s="271" t="s">
        <v>738</v>
      </c>
      <c r="C82" s="271" t="s">
        <v>320</v>
      </c>
      <c r="D82" s="414">
        <v>576</v>
      </c>
      <c r="E82" s="272">
        <v>4.17</v>
      </c>
      <c r="F82" s="278">
        <v>2400.84</v>
      </c>
      <c r="G82" s="272">
        <v>8.34</v>
      </c>
      <c r="H82" s="278">
        <v>4801.67</v>
      </c>
      <c r="I82" s="272">
        <v>8.34</v>
      </c>
      <c r="J82" s="278">
        <v>4801.67</v>
      </c>
    </row>
    <row r="83" spans="2:10" x14ac:dyDescent="0.25">
      <c r="B83" s="269" t="s">
        <v>739</v>
      </c>
      <c r="C83" s="269" t="s">
        <v>320</v>
      </c>
      <c r="D83" s="412">
        <v>1912</v>
      </c>
      <c r="E83" s="270">
        <v>0.2</v>
      </c>
      <c r="F83" s="270">
        <v>382.47</v>
      </c>
      <c r="G83" s="270">
        <v>0.4</v>
      </c>
      <c r="H83" s="270">
        <v>764.94</v>
      </c>
      <c r="I83" s="270">
        <v>0.4</v>
      </c>
      <c r="J83" s="270">
        <v>764.94</v>
      </c>
    </row>
    <row r="84" spans="2:10" x14ac:dyDescent="0.25">
      <c r="B84" s="271" t="s">
        <v>740</v>
      </c>
      <c r="C84" s="271" t="s">
        <v>320</v>
      </c>
      <c r="D84" s="413">
        <v>1922</v>
      </c>
      <c r="E84" s="275"/>
      <c r="F84" s="275"/>
      <c r="G84" s="275"/>
      <c r="H84" s="275"/>
      <c r="I84" s="272">
        <v>1.24</v>
      </c>
      <c r="J84" s="278">
        <v>2382.77</v>
      </c>
    </row>
    <row r="85" spans="2:10" x14ac:dyDescent="0.25">
      <c r="B85" s="269" t="s">
        <v>741</v>
      </c>
      <c r="C85" s="269" t="s">
        <v>326</v>
      </c>
      <c r="D85" s="270">
        <v>9.6300000000000008</v>
      </c>
      <c r="E85" s="410"/>
      <c r="F85" s="410"/>
      <c r="G85" s="270">
        <v>25</v>
      </c>
      <c r="H85" s="270">
        <v>240.76</v>
      </c>
      <c r="I85" s="270">
        <v>112</v>
      </c>
      <c r="J85" s="279">
        <v>1078.6199999999999</v>
      </c>
    </row>
    <row r="86" spans="2:10" x14ac:dyDescent="0.25">
      <c r="B86" s="271" t="s">
        <v>742</v>
      </c>
      <c r="C86" s="271" t="s">
        <v>326</v>
      </c>
      <c r="D86" s="272">
        <v>1.05</v>
      </c>
      <c r="E86" s="275"/>
      <c r="F86" s="275"/>
      <c r="G86" s="272">
        <v>25</v>
      </c>
      <c r="H86" s="272">
        <v>26.25</v>
      </c>
      <c r="I86" s="272">
        <v>112</v>
      </c>
      <c r="J86" s="272">
        <v>117.6</v>
      </c>
    </row>
    <row r="87" spans="2:10" x14ac:dyDescent="0.25">
      <c r="B87" s="273" t="s">
        <v>578</v>
      </c>
      <c r="C87" s="274"/>
      <c r="D87" s="274"/>
      <c r="E87" s="274"/>
      <c r="F87" s="274"/>
      <c r="G87" s="274"/>
      <c r="H87" s="274"/>
      <c r="I87" s="274"/>
      <c r="J87" s="274"/>
    </row>
    <row r="88" spans="2:10" x14ac:dyDescent="0.25">
      <c r="B88" s="271" t="s">
        <v>743</v>
      </c>
      <c r="C88" s="271" t="s">
        <v>329</v>
      </c>
      <c r="D88" s="272">
        <v>218.44</v>
      </c>
      <c r="E88" s="275"/>
      <c r="F88" s="275"/>
      <c r="G88" s="272">
        <v>25</v>
      </c>
      <c r="H88" s="278">
        <v>5461.08</v>
      </c>
      <c r="I88" s="272">
        <v>25</v>
      </c>
      <c r="J88" s="278">
        <v>5461.08</v>
      </c>
    </row>
    <row r="89" spans="2:10" x14ac:dyDescent="0.25">
      <c r="B89" s="269" t="s">
        <v>744</v>
      </c>
      <c r="C89" s="269" t="s">
        <v>745</v>
      </c>
      <c r="D89" s="270">
        <v>9.25</v>
      </c>
      <c r="E89" s="410"/>
      <c r="F89" s="410"/>
      <c r="G89" s="270">
        <v>3.5</v>
      </c>
      <c r="H89" s="270">
        <v>32.380000000000003</v>
      </c>
      <c r="I89" s="270">
        <v>3.5</v>
      </c>
      <c r="J89" s="270">
        <v>32.380000000000003</v>
      </c>
    </row>
    <row r="90" spans="2:10" x14ac:dyDescent="0.25">
      <c r="B90" s="271" t="s">
        <v>580</v>
      </c>
      <c r="C90" s="271" t="s">
        <v>326</v>
      </c>
      <c r="D90" s="272">
        <v>113.85</v>
      </c>
      <c r="E90" s="272">
        <v>0.05</v>
      </c>
      <c r="F90" s="272">
        <v>5.69</v>
      </c>
      <c r="G90" s="272">
        <v>0.05</v>
      </c>
      <c r="H90" s="272">
        <v>5.69</v>
      </c>
      <c r="I90" s="272">
        <v>0.05</v>
      </c>
      <c r="J90" s="272">
        <v>5.69</v>
      </c>
    </row>
    <row r="91" spans="2:10" x14ac:dyDescent="0.25">
      <c r="B91" s="269" t="s">
        <v>581</v>
      </c>
      <c r="C91" s="269" t="s">
        <v>326</v>
      </c>
      <c r="D91" s="410"/>
      <c r="E91" s="270">
        <v>2.77</v>
      </c>
      <c r="F91" s="270">
        <v>164.73</v>
      </c>
      <c r="G91" s="270">
        <v>99.962999999999994</v>
      </c>
      <c r="H91" s="279">
        <v>5748.48</v>
      </c>
      <c r="I91" s="270">
        <v>286.54000000000002</v>
      </c>
      <c r="J91" s="279">
        <v>16788.78</v>
      </c>
    </row>
    <row r="92" spans="2:10" x14ac:dyDescent="0.25">
      <c r="B92" s="271" t="s">
        <v>583</v>
      </c>
      <c r="C92" s="271" t="s">
        <v>326</v>
      </c>
      <c r="D92" s="272">
        <v>13</v>
      </c>
      <c r="E92" s="272">
        <v>2</v>
      </c>
      <c r="F92" s="272">
        <v>26</v>
      </c>
      <c r="G92" s="272">
        <v>3</v>
      </c>
      <c r="H92" s="272">
        <v>39</v>
      </c>
      <c r="I92" s="272">
        <v>2</v>
      </c>
      <c r="J92" s="272">
        <v>26</v>
      </c>
    </row>
    <row r="93" spans="2:10" x14ac:dyDescent="0.25">
      <c r="B93" s="273" t="s">
        <v>746</v>
      </c>
      <c r="C93" s="274"/>
      <c r="D93" s="274"/>
      <c r="E93" s="274"/>
      <c r="F93" s="274"/>
      <c r="G93" s="274"/>
      <c r="H93" s="274"/>
      <c r="I93" s="274"/>
      <c r="J93" s="274"/>
    </row>
    <row r="94" spans="2:10" x14ac:dyDescent="0.25">
      <c r="B94" s="271" t="s">
        <v>747</v>
      </c>
      <c r="C94" s="271" t="s">
        <v>452</v>
      </c>
      <c r="D94" s="272">
        <v>4.5</v>
      </c>
      <c r="E94" s="413">
        <v>1143</v>
      </c>
      <c r="F94" s="278">
        <v>5142.8599999999997</v>
      </c>
      <c r="G94" s="275"/>
      <c r="H94" s="275"/>
      <c r="I94" s="275"/>
      <c r="J94" s="275"/>
    </row>
    <row r="95" spans="2:10" x14ac:dyDescent="0.25">
      <c r="B95" s="273" t="s">
        <v>748</v>
      </c>
      <c r="C95" s="274"/>
      <c r="D95" s="274"/>
      <c r="E95" s="274"/>
      <c r="F95" s="274"/>
      <c r="G95" s="274"/>
      <c r="H95" s="274"/>
      <c r="I95" s="274"/>
      <c r="J95" s="274"/>
    </row>
    <row r="96" spans="2:10" x14ac:dyDescent="0.25">
      <c r="B96" s="271" t="s">
        <v>749</v>
      </c>
      <c r="C96" s="271" t="s">
        <v>452</v>
      </c>
      <c r="D96" s="272">
        <v>161.76</v>
      </c>
      <c r="E96" s="272">
        <v>4</v>
      </c>
      <c r="F96" s="272">
        <v>647.04</v>
      </c>
      <c r="G96" s="275"/>
      <c r="H96" s="275"/>
      <c r="I96" s="275"/>
      <c r="J96" s="275"/>
    </row>
    <row r="97" spans="2:10" x14ac:dyDescent="0.25">
      <c r="B97" s="269" t="s">
        <v>750</v>
      </c>
      <c r="C97" s="269" t="s">
        <v>452</v>
      </c>
      <c r="D97" s="270">
        <v>12.41</v>
      </c>
      <c r="E97" s="270">
        <v>168</v>
      </c>
      <c r="F97" s="279">
        <v>2085.15</v>
      </c>
      <c r="G97" s="410"/>
      <c r="H97" s="410"/>
      <c r="I97" s="410"/>
      <c r="J97" s="410"/>
    </row>
    <row r="98" spans="2:10" x14ac:dyDescent="0.25">
      <c r="B98" s="271" t="s">
        <v>751</v>
      </c>
      <c r="C98" s="271" t="s">
        <v>452</v>
      </c>
      <c r="D98" s="272">
        <v>10.44</v>
      </c>
      <c r="E98" s="272">
        <v>873</v>
      </c>
      <c r="F98" s="278">
        <v>9114.1200000000008</v>
      </c>
      <c r="G98" s="275"/>
      <c r="H98" s="275"/>
      <c r="I98" s="275"/>
      <c r="J98" s="275"/>
    </row>
    <row r="99" spans="2:10" x14ac:dyDescent="0.25">
      <c r="B99" s="269" t="s">
        <v>752</v>
      </c>
      <c r="C99" s="269" t="s">
        <v>326</v>
      </c>
      <c r="D99" s="270">
        <v>10.220000000000001</v>
      </c>
      <c r="E99" s="270">
        <v>139</v>
      </c>
      <c r="F99" s="279">
        <v>1420.42</v>
      </c>
      <c r="G99" s="410"/>
      <c r="H99" s="410"/>
      <c r="I99" s="410"/>
      <c r="J99" s="410"/>
    </row>
    <row r="100" spans="2:10" x14ac:dyDescent="0.25">
      <c r="B100" s="271" t="s">
        <v>753</v>
      </c>
      <c r="C100" s="271" t="s">
        <v>326</v>
      </c>
      <c r="D100" s="272">
        <v>9.23</v>
      </c>
      <c r="E100" s="272">
        <v>18</v>
      </c>
      <c r="F100" s="272">
        <v>166.07</v>
      </c>
      <c r="G100" s="275"/>
      <c r="H100" s="275"/>
      <c r="I100" s="275"/>
      <c r="J100" s="275"/>
    </row>
    <row r="101" spans="2:10" x14ac:dyDescent="0.25">
      <c r="B101" s="269" t="s">
        <v>754</v>
      </c>
      <c r="C101" s="269" t="s">
        <v>326</v>
      </c>
      <c r="D101" s="270">
        <v>10.87</v>
      </c>
      <c r="E101" s="270">
        <v>861</v>
      </c>
      <c r="F101" s="279">
        <v>9359.49</v>
      </c>
      <c r="G101" s="410"/>
      <c r="H101" s="410"/>
      <c r="I101" s="410"/>
      <c r="J101" s="410"/>
    </row>
    <row r="102" spans="2:10" x14ac:dyDescent="0.25">
      <c r="B102" s="271" t="s">
        <v>755</v>
      </c>
      <c r="C102" s="271" t="s">
        <v>326</v>
      </c>
      <c r="D102" s="272">
        <v>13.45</v>
      </c>
      <c r="E102" s="272">
        <v>10</v>
      </c>
      <c r="F102" s="272">
        <v>134.46</v>
      </c>
      <c r="G102" s="275"/>
      <c r="H102" s="275"/>
      <c r="I102" s="275"/>
      <c r="J102" s="275"/>
    </row>
    <row r="103" spans="2:10" x14ac:dyDescent="0.25">
      <c r="B103" s="269" t="s">
        <v>756</v>
      </c>
      <c r="C103" s="269" t="s">
        <v>452</v>
      </c>
      <c r="D103" s="270">
        <v>58.19</v>
      </c>
      <c r="E103" s="410"/>
      <c r="F103" s="410"/>
      <c r="G103" s="270">
        <v>6</v>
      </c>
      <c r="H103" s="270">
        <v>349.14</v>
      </c>
      <c r="I103" s="410"/>
      <c r="J103" s="410"/>
    </row>
    <row r="104" spans="2:10" x14ac:dyDescent="0.25">
      <c r="B104" s="271" t="s">
        <v>757</v>
      </c>
      <c r="C104" s="271" t="s">
        <v>452</v>
      </c>
      <c r="D104" s="272">
        <v>17.48</v>
      </c>
      <c r="E104" s="275"/>
      <c r="F104" s="275"/>
      <c r="G104" s="272">
        <v>4</v>
      </c>
      <c r="H104" s="272">
        <v>69.92</v>
      </c>
      <c r="I104" s="275"/>
      <c r="J104" s="275"/>
    </row>
    <row r="105" spans="2:10" x14ac:dyDescent="0.25">
      <c r="B105" s="269" t="s">
        <v>758</v>
      </c>
      <c r="C105" s="269" t="s">
        <v>452</v>
      </c>
      <c r="D105" s="270">
        <v>18.62</v>
      </c>
      <c r="E105" s="410"/>
      <c r="F105" s="410"/>
      <c r="G105" s="270">
        <v>8</v>
      </c>
      <c r="H105" s="270">
        <v>148.94</v>
      </c>
      <c r="I105" s="410"/>
      <c r="J105" s="410"/>
    </row>
    <row r="106" spans="2:10" x14ac:dyDescent="0.25">
      <c r="B106" s="271" t="s">
        <v>759</v>
      </c>
      <c r="C106" s="271" t="s">
        <v>760</v>
      </c>
      <c r="D106" s="272">
        <v>12.93</v>
      </c>
      <c r="E106" s="275"/>
      <c r="F106" s="275"/>
      <c r="G106" s="272">
        <v>90</v>
      </c>
      <c r="H106" s="278">
        <v>1163.5899999999999</v>
      </c>
      <c r="I106" s="272">
        <v>130</v>
      </c>
      <c r="J106" s="278">
        <v>1680.74</v>
      </c>
    </row>
    <row r="107" spans="2:10" x14ac:dyDescent="0.25">
      <c r="B107" s="269" t="s">
        <v>761</v>
      </c>
      <c r="C107" s="269" t="s">
        <v>762</v>
      </c>
      <c r="D107" s="270">
        <v>3.14</v>
      </c>
      <c r="E107" s="410"/>
      <c r="F107" s="410"/>
      <c r="G107" s="270">
        <v>36</v>
      </c>
      <c r="H107" s="270">
        <v>113.19</v>
      </c>
      <c r="I107" s="270">
        <v>84</v>
      </c>
      <c r="J107" s="270">
        <v>264.12</v>
      </c>
    </row>
    <row r="108" spans="2:10" x14ac:dyDescent="0.25">
      <c r="B108" s="267" t="s">
        <v>624</v>
      </c>
      <c r="C108" s="268"/>
      <c r="D108" s="268"/>
      <c r="E108" s="268"/>
      <c r="F108" s="411">
        <v>33611.93</v>
      </c>
      <c r="G108" s="268"/>
      <c r="H108" s="411">
        <v>24638.679999999993</v>
      </c>
      <c r="I108" s="268"/>
      <c r="J108" s="411">
        <v>45107.45</v>
      </c>
    </row>
    <row r="109" spans="2:10" x14ac:dyDescent="0.25">
      <c r="B109" s="667" t="s">
        <v>588</v>
      </c>
      <c r="C109" s="667"/>
      <c r="D109" s="667"/>
      <c r="E109" s="667"/>
      <c r="F109" s="667"/>
      <c r="G109" s="667"/>
      <c r="H109" s="667"/>
      <c r="I109" s="667"/>
      <c r="J109" s="667"/>
    </row>
    <row r="110" spans="2:10" x14ac:dyDescent="0.25">
      <c r="B110" s="271" t="s">
        <v>763</v>
      </c>
      <c r="C110" s="271" t="s">
        <v>58</v>
      </c>
      <c r="D110" s="278">
        <v>3193.6</v>
      </c>
      <c r="E110" s="272">
        <v>1</v>
      </c>
      <c r="F110" s="278">
        <v>3193.6</v>
      </c>
      <c r="G110" s="272">
        <v>1</v>
      </c>
      <c r="H110" s="278">
        <v>3193.6</v>
      </c>
      <c r="I110" s="272">
        <v>1</v>
      </c>
      <c r="J110" s="278">
        <v>3193.6</v>
      </c>
    </row>
    <row r="111" spans="2:10" x14ac:dyDescent="0.25">
      <c r="B111" s="269" t="s">
        <v>338</v>
      </c>
      <c r="C111" s="269" t="s">
        <v>58</v>
      </c>
      <c r="D111" s="279">
        <v>1197.5999999999999</v>
      </c>
      <c r="E111" s="270">
        <v>1</v>
      </c>
      <c r="F111" s="279">
        <v>1197.5999999999999</v>
      </c>
      <c r="G111" s="270">
        <v>1</v>
      </c>
      <c r="H111" s="279">
        <v>1197.5999999999999</v>
      </c>
      <c r="I111" s="270">
        <v>1</v>
      </c>
      <c r="J111" s="279">
        <v>1197.5999999999999</v>
      </c>
    </row>
    <row r="112" spans="2:10" x14ac:dyDescent="0.25">
      <c r="B112" s="271" t="s">
        <v>464</v>
      </c>
      <c r="C112" s="271" t="s">
        <v>58</v>
      </c>
      <c r="D112" s="272">
        <v>798.4</v>
      </c>
      <c r="E112" s="272">
        <v>1</v>
      </c>
      <c r="F112" s="272">
        <v>798.4</v>
      </c>
      <c r="G112" s="272">
        <v>1</v>
      </c>
      <c r="H112" s="272">
        <v>798.4</v>
      </c>
      <c r="I112" s="272">
        <v>1</v>
      </c>
      <c r="J112" s="272">
        <v>798.4</v>
      </c>
    </row>
    <row r="113" spans="2:10" x14ac:dyDescent="0.25">
      <c r="B113" s="269" t="s">
        <v>465</v>
      </c>
      <c r="C113" s="269" t="s">
        <v>58</v>
      </c>
      <c r="D113" s="279">
        <v>1677.28</v>
      </c>
      <c r="E113" s="270">
        <v>1</v>
      </c>
      <c r="F113" s="279">
        <v>1677.28</v>
      </c>
      <c r="G113" s="270">
        <v>1</v>
      </c>
      <c r="H113" s="279">
        <v>1677.28</v>
      </c>
      <c r="I113" s="270">
        <v>1</v>
      </c>
      <c r="J113" s="279">
        <v>1677.28</v>
      </c>
    </row>
    <row r="114" spans="2:10" x14ac:dyDescent="0.25">
      <c r="B114" s="271" t="s">
        <v>342</v>
      </c>
      <c r="C114" s="271" t="s">
        <v>58</v>
      </c>
      <c r="D114" s="272">
        <v>424.98</v>
      </c>
      <c r="E114" s="272">
        <v>1</v>
      </c>
      <c r="F114" s="272">
        <v>424.98</v>
      </c>
      <c r="G114" s="272">
        <v>1</v>
      </c>
      <c r="H114" s="272">
        <v>424.98</v>
      </c>
      <c r="I114" s="272">
        <v>1</v>
      </c>
      <c r="J114" s="272">
        <v>424.98</v>
      </c>
    </row>
    <row r="115" spans="2:10" x14ac:dyDescent="0.25">
      <c r="B115" s="269" t="s">
        <v>592</v>
      </c>
      <c r="C115" s="269" t="s">
        <v>591</v>
      </c>
      <c r="D115" s="415">
        <v>1.7999999999999999E-2</v>
      </c>
      <c r="E115" s="410"/>
      <c r="F115" s="410"/>
      <c r="G115" s="270">
        <v>1</v>
      </c>
      <c r="H115" s="279">
        <v>2025</v>
      </c>
      <c r="I115" s="270">
        <v>1</v>
      </c>
      <c r="J115" s="279">
        <v>4860</v>
      </c>
    </row>
    <row r="116" spans="2:10" x14ac:dyDescent="0.25">
      <c r="B116" s="267" t="s">
        <v>629</v>
      </c>
      <c r="C116" s="268"/>
      <c r="D116" s="268"/>
      <c r="E116" s="268"/>
      <c r="F116" s="411">
        <v>7291.8599999999988</v>
      </c>
      <c r="G116" s="268"/>
      <c r="H116" s="411">
        <v>9316.8599999999988</v>
      </c>
      <c r="I116" s="268"/>
      <c r="J116" s="411">
        <v>12151.859999999999</v>
      </c>
    </row>
    <row r="117" spans="2:10" x14ac:dyDescent="0.25">
      <c r="B117" s="416" t="s">
        <v>764</v>
      </c>
      <c r="C117" s="416" t="s">
        <v>765</v>
      </c>
      <c r="D117" s="417"/>
      <c r="E117" s="417"/>
      <c r="F117" s="418">
        <f>F38+F74+F108+F116</f>
        <v>66338.94</v>
      </c>
      <c r="G117" s="417"/>
      <c r="H117" s="418">
        <f>H38+H74+H108+H116</f>
        <v>122355.96999999999</v>
      </c>
      <c r="I117" s="417"/>
      <c r="J117" s="418">
        <f>J38+J74+J108+J116</f>
        <v>154114.31</v>
      </c>
    </row>
    <row r="118" spans="2:10" x14ac:dyDescent="0.25">
      <c r="B118" s="700" t="s">
        <v>766</v>
      </c>
      <c r="C118" s="700"/>
      <c r="D118" s="701">
        <v>2641</v>
      </c>
      <c r="E118" s="702"/>
      <c r="F118" s="702"/>
      <c r="G118" s="702"/>
      <c r="H118" s="702"/>
      <c r="I118" s="702"/>
      <c r="J118" s="703"/>
    </row>
    <row r="119" spans="2:10" x14ac:dyDescent="0.25">
      <c r="B119" s="416" t="s">
        <v>767</v>
      </c>
      <c r="C119" s="419"/>
      <c r="D119" s="419"/>
      <c r="E119" s="419"/>
      <c r="F119" s="419"/>
      <c r="G119" s="419"/>
      <c r="H119" s="420">
        <f>J10*D121</f>
        <v>112500</v>
      </c>
      <c r="I119" s="419"/>
      <c r="J119" s="421">
        <f>J11*D12*D121</f>
        <v>270000</v>
      </c>
    </row>
    <row r="120" spans="2:10" x14ac:dyDescent="0.25">
      <c r="B120" s="700" t="s">
        <v>768</v>
      </c>
      <c r="C120" s="700"/>
      <c r="D120" s="422"/>
      <c r="E120" s="423"/>
      <c r="F120" s="424">
        <f>F119-F117</f>
        <v>-66338.94</v>
      </c>
      <c r="G120" s="423"/>
      <c r="H120" s="424">
        <f>F120+(H119-H117)</f>
        <v>-76194.909999999989</v>
      </c>
      <c r="I120" s="423"/>
      <c r="J120" s="424">
        <f>H120+(13*(J119-J117))</f>
        <v>1430319.06</v>
      </c>
    </row>
    <row r="121" spans="2:10" x14ac:dyDescent="0.25">
      <c r="B121" s="416" t="s">
        <v>865</v>
      </c>
      <c r="C121" s="419"/>
      <c r="D121" s="704">
        <v>4500</v>
      </c>
      <c r="E121" s="705"/>
      <c r="F121" s="705"/>
      <c r="G121" s="705"/>
      <c r="H121" s="705"/>
      <c r="I121" s="705"/>
      <c r="J121" s="706"/>
    </row>
    <row r="122" spans="2:10" x14ac:dyDescent="0.25">
      <c r="B122" s="700" t="s">
        <v>769</v>
      </c>
      <c r="C122" s="700"/>
      <c r="D122" s="707" t="s">
        <v>770</v>
      </c>
      <c r="E122" s="708"/>
      <c r="F122" s="708"/>
      <c r="G122" s="708"/>
      <c r="H122" s="708"/>
      <c r="I122" s="708"/>
      <c r="J122" s="709"/>
    </row>
    <row r="123" spans="2:10" ht="5.0999999999999996" customHeight="1" x14ac:dyDescent="0.25">
      <c r="B123" s="425"/>
      <c r="C123" s="425"/>
      <c r="D123" s="426"/>
      <c r="E123" s="426"/>
      <c r="F123" s="426"/>
      <c r="G123" s="426"/>
      <c r="H123" s="426"/>
      <c r="I123" s="426"/>
      <c r="J123" s="426"/>
    </row>
    <row r="124" spans="2:10" ht="16.5" customHeight="1" x14ac:dyDescent="0.25">
      <c r="B124" s="427" t="s">
        <v>771</v>
      </c>
      <c r="C124" s="427" t="s">
        <v>772</v>
      </c>
      <c r="D124" s="427" t="s">
        <v>773</v>
      </c>
      <c r="E124" s="427"/>
      <c r="F124" s="427"/>
      <c r="G124" s="427" t="s">
        <v>774</v>
      </c>
      <c r="H124" s="427"/>
      <c r="I124" s="427"/>
      <c r="J124" s="427"/>
    </row>
    <row r="125" spans="2:10" s="337" customFormat="1" ht="16.5" customHeight="1" x14ac:dyDescent="0.25">
      <c r="B125" s="338" t="s">
        <v>599</v>
      </c>
    </row>
    <row r="126" spans="2:10" s="337" customFormat="1" ht="16.5" customHeight="1" x14ac:dyDescent="0.25">
      <c r="B126" s="338" t="s">
        <v>775</v>
      </c>
    </row>
    <row r="127" spans="2:10" s="337" customFormat="1" ht="16.5" customHeight="1" x14ac:dyDescent="0.25">
      <c r="B127" s="338" t="s">
        <v>602</v>
      </c>
    </row>
    <row r="128" spans="2:10" s="337" customFormat="1" ht="16.5" customHeight="1" x14ac:dyDescent="0.25">
      <c r="B128" s="338" t="s">
        <v>776</v>
      </c>
    </row>
    <row r="129" spans="1:16" s="287" customFormat="1" ht="16.5" customHeight="1" x14ac:dyDescent="0.25">
      <c r="A129" s="338"/>
      <c r="B129" s="699" t="s">
        <v>503</v>
      </c>
      <c r="C129" s="699"/>
      <c r="D129" s="699"/>
      <c r="E129" s="699"/>
      <c r="F129" s="699"/>
      <c r="G129" s="699"/>
      <c r="H129" s="699"/>
      <c r="I129" s="699"/>
      <c r="J129" s="699"/>
      <c r="K129" s="699"/>
      <c r="L129" s="699"/>
      <c r="M129" s="699"/>
      <c r="N129" s="699"/>
      <c r="O129" s="699"/>
      <c r="P129" s="699"/>
    </row>
    <row r="130" spans="1:16" s="337" customFormat="1" ht="16.5" customHeight="1" x14ac:dyDescent="0.25">
      <c r="B130" s="338" t="s">
        <v>368</v>
      </c>
    </row>
    <row r="131" spans="1:16" s="337" customFormat="1" x14ac:dyDescent="0.25">
      <c r="B131" s="338"/>
      <c r="C131" s="338"/>
      <c r="D131" s="338"/>
      <c r="E131" s="338"/>
      <c r="F131" s="338"/>
      <c r="G131" s="338"/>
      <c r="H131" s="338"/>
      <c r="I131" s="338"/>
      <c r="J131" s="338"/>
      <c r="K131" s="338"/>
      <c r="L131" s="338"/>
      <c r="M131" s="338"/>
      <c r="N131" s="338"/>
      <c r="O131" s="338"/>
      <c r="P131" s="338"/>
    </row>
    <row r="132" spans="1:16" s="262" customFormat="1" ht="12.75" x14ac:dyDescent="0.25">
      <c r="B132" s="334" t="s">
        <v>369</v>
      </c>
      <c r="C132" s="334"/>
      <c r="D132" s="334"/>
      <c r="E132" s="334"/>
      <c r="F132" s="334"/>
      <c r="G132" s="334"/>
      <c r="H132" s="334"/>
      <c r="I132" s="334"/>
      <c r="J132" s="336">
        <v>413</v>
      </c>
    </row>
    <row r="133" spans="1:16" ht="16.5" customHeight="1" x14ac:dyDescent="0.25">
      <c r="B133" s="295"/>
      <c r="C133" s="295"/>
      <c r="D133" s="295"/>
      <c r="E133" s="295"/>
      <c r="F133" s="295"/>
      <c r="G133" s="295"/>
      <c r="H133" s="295"/>
      <c r="I133" s="295"/>
      <c r="J133" s="295"/>
    </row>
    <row r="135" spans="1:16" s="389" customFormat="1" ht="12.75" x14ac:dyDescent="0.25">
      <c r="B135" s="432"/>
      <c r="C135" s="432"/>
    </row>
    <row r="136" spans="1:16" s="389" customFormat="1" ht="14.25" x14ac:dyDescent="0.25">
      <c r="B136" s="429" t="s">
        <v>260</v>
      </c>
      <c r="C136" s="430" t="s">
        <v>781</v>
      </c>
    </row>
    <row r="137" spans="1:16" s="389" customFormat="1" ht="14.25" x14ac:dyDescent="0.25">
      <c r="B137" s="433" t="s">
        <v>777</v>
      </c>
      <c r="C137" s="434">
        <f>F117-F115</f>
        <v>66338.94</v>
      </c>
    </row>
    <row r="138" spans="1:16" s="389" customFormat="1" ht="14.25" x14ac:dyDescent="0.25">
      <c r="B138" s="429" t="s">
        <v>782</v>
      </c>
      <c r="C138" s="431">
        <f>'Sistema de Irrigação'!I17</f>
        <v>13000</v>
      </c>
    </row>
    <row r="139" spans="1:16" s="389" customFormat="1" ht="14.25" x14ac:dyDescent="0.25">
      <c r="B139" s="433" t="s">
        <v>780</v>
      </c>
      <c r="C139" s="434">
        <f>((H117-H115)+((J117-J115)*13))/14</f>
        <v>147188.35714285713</v>
      </c>
    </row>
    <row r="140" spans="1:16" s="389" customFormat="1" ht="14.25" x14ac:dyDescent="0.25">
      <c r="B140" s="429" t="s">
        <v>791</v>
      </c>
      <c r="C140" s="440">
        <f>(J10+(J11*13))/14</f>
        <v>29.642857142857142</v>
      </c>
    </row>
    <row r="141" spans="1:16" s="389" customFormat="1" ht="14.25" x14ac:dyDescent="0.25">
      <c r="B141" s="433" t="s">
        <v>788</v>
      </c>
      <c r="C141" s="434">
        <f>D121</f>
        <v>4500</v>
      </c>
    </row>
    <row r="142" spans="1:16" s="389" customFormat="1" ht="14.25" x14ac:dyDescent="0.25">
      <c r="B142" s="429" t="s">
        <v>778</v>
      </c>
      <c r="C142" s="435">
        <v>4.0270000000000001</v>
      </c>
    </row>
    <row r="143" spans="1:16" s="389" customFormat="1" ht="14.25" x14ac:dyDescent="0.25">
      <c r="B143" s="433" t="s">
        <v>783</v>
      </c>
      <c r="C143" s="434">
        <f>F94+F50</f>
        <v>5877.15</v>
      </c>
    </row>
    <row r="144" spans="1:16" s="389" customFormat="1" ht="14.25" x14ac:dyDescent="0.25">
      <c r="B144" s="429" t="s">
        <v>784</v>
      </c>
      <c r="C144" s="435" t="s">
        <v>797</v>
      </c>
    </row>
    <row r="145" spans="2:3" s="389" customFormat="1" ht="14.25" x14ac:dyDescent="0.25">
      <c r="B145" s="433" t="s">
        <v>785</v>
      </c>
      <c r="C145" s="446">
        <v>0.33333333333333298</v>
      </c>
    </row>
    <row r="146" spans="2:3" s="443" customFormat="1" ht="14.25" x14ac:dyDescent="0.25">
      <c r="B146" s="429" t="s">
        <v>798</v>
      </c>
      <c r="C146" s="435" t="s">
        <v>802</v>
      </c>
    </row>
    <row r="147" spans="2:3" x14ac:dyDescent="0.25">
      <c r="B147" s="429" t="s">
        <v>873</v>
      </c>
      <c r="C147" s="611">
        <f>C139/C140/2</f>
        <v>2482.6951807228916</v>
      </c>
    </row>
  </sheetData>
  <mergeCells count="23">
    <mergeCell ref="B16:J16"/>
    <mergeCell ref="B39:J39"/>
    <mergeCell ref="B8:J8"/>
    <mergeCell ref="D12:E12"/>
    <mergeCell ref="B13:B15"/>
    <mergeCell ref="C13:C15"/>
    <mergeCell ref="D13:D15"/>
    <mergeCell ref="E13:F13"/>
    <mergeCell ref="G13:H13"/>
    <mergeCell ref="I13:J13"/>
    <mergeCell ref="E14:F14"/>
    <mergeCell ref="G14:H14"/>
    <mergeCell ref="I14:J14"/>
    <mergeCell ref="L48:L58"/>
    <mergeCell ref="B76:J76"/>
    <mergeCell ref="B129:P129"/>
    <mergeCell ref="B118:C118"/>
    <mergeCell ref="D118:J118"/>
    <mergeCell ref="B120:C120"/>
    <mergeCell ref="D121:J121"/>
    <mergeCell ref="B122:C122"/>
    <mergeCell ref="D122:J122"/>
    <mergeCell ref="B109:J109"/>
  </mergeCells>
  <hyperlinks>
    <hyperlink ref="B129" r:id="rId1" display="http://www.informaecon-fnp.com/" xr:uid="{00000000-0004-0000-1900-000000000000}"/>
  </hyperlinks>
  <pageMargins left="0.7" right="0.7" top="0.75" bottom="0.75" header="0.3" footer="0.3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T128"/>
  <sheetViews>
    <sheetView showGridLines="0" topLeftCell="A116" workbookViewId="0">
      <selection activeCell="B128" sqref="B128:C128"/>
    </sheetView>
  </sheetViews>
  <sheetFormatPr defaultRowHeight="15" x14ac:dyDescent="0.25"/>
  <cols>
    <col min="1" max="1" width="4.5703125" style="337" customWidth="1"/>
    <col min="2" max="2" width="39.7109375" style="337" customWidth="1"/>
    <col min="3" max="3" width="50.85546875" style="337" customWidth="1"/>
    <col min="4" max="16" width="8.42578125" style="337" customWidth="1"/>
    <col min="17" max="17" width="2.28515625" style="337" customWidth="1"/>
    <col min="18" max="18" width="11.85546875" style="337" customWidth="1"/>
    <col min="19" max="16384" width="9.140625" style="337"/>
  </cols>
  <sheetData>
    <row r="1" spans="2:20" s="338" customFormat="1" x14ac:dyDescent="0.25"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</row>
    <row r="2" spans="2:20" s="338" customFormat="1" x14ac:dyDescent="0.25"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</row>
    <row r="3" spans="2:20" s="262" customFormat="1" ht="26.25" customHeight="1" x14ac:dyDescent="0.25">
      <c r="P3" s="263" t="s">
        <v>490</v>
      </c>
      <c r="S3" s="263"/>
    </row>
    <row r="4" spans="2:20" s="338" customFormat="1" ht="26.25" customHeight="1" x14ac:dyDescent="0.25">
      <c r="B4" s="337"/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337"/>
    </row>
    <row r="5" spans="2:20" s="338" customFormat="1" ht="26.25" customHeight="1" x14ac:dyDescent="0.25">
      <c r="B5" s="337"/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  <c r="O5" s="337"/>
      <c r="P5" s="337"/>
      <c r="Q5" s="337"/>
      <c r="R5" s="337"/>
      <c r="S5" s="337"/>
      <c r="T5" s="337"/>
    </row>
    <row r="6" spans="2:20" s="338" customFormat="1" ht="12.2" customHeight="1" x14ac:dyDescent="0.25">
      <c r="B6" s="337"/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7"/>
      <c r="O6" s="337"/>
      <c r="P6" s="337"/>
      <c r="Q6" s="337"/>
      <c r="R6" s="337"/>
      <c r="S6" s="337"/>
      <c r="T6" s="337"/>
    </row>
    <row r="7" spans="2:20" s="338" customFormat="1" ht="12.2" customHeight="1" x14ac:dyDescent="0.25">
      <c r="B7" s="337"/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337"/>
      <c r="N7" s="337"/>
      <c r="O7" s="337"/>
      <c r="P7" s="339" t="s">
        <v>506</v>
      </c>
      <c r="Q7" s="337"/>
      <c r="R7" s="337"/>
      <c r="S7" s="337"/>
    </row>
    <row r="8" spans="2:20" ht="38.25" customHeight="1" x14ac:dyDescent="0.25">
      <c r="B8" s="710" t="s">
        <v>507</v>
      </c>
      <c r="C8" s="711"/>
      <c r="D8" s="711"/>
      <c r="E8" s="711"/>
      <c r="F8" s="711"/>
      <c r="G8" s="711"/>
      <c r="H8" s="711"/>
      <c r="I8" s="711"/>
      <c r="J8" s="711"/>
      <c r="K8" s="711"/>
      <c r="L8" s="711"/>
      <c r="M8" s="711"/>
      <c r="N8" s="711"/>
      <c r="O8" s="711"/>
      <c r="P8" s="712"/>
    </row>
    <row r="9" spans="2:20" x14ac:dyDescent="0.25">
      <c r="B9" s="340" t="s">
        <v>508</v>
      </c>
      <c r="E9" s="361" t="s">
        <v>372</v>
      </c>
      <c r="F9" s="361"/>
      <c r="G9" s="361"/>
      <c r="H9" s="361"/>
      <c r="I9" s="362" t="s">
        <v>509</v>
      </c>
      <c r="J9" s="363">
        <v>4</v>
      </c>
      <c r="P9" s="341"/>
    </row>
    <row r="10" spans="2:20" x14ac:dyDescent="0.25">
      <c r="B10" s="340" t="s">
        <v>510</v>
      </c>
      <c r="E10" s="361" t="s">
        <v>511</v>
      </c>
      <c r="F10" s="361"/>
      <c r="G10" s="361"/>
      <c r="H10" s="361"/>
      <c r="I10" s="362" t="s">
        <v>512</v>
      </c>
      <c r="J10" s="363">
        <v>10</v>
      </c>
      <c r="P10" s="341"/>
    </row>
    <row r="11" spans="2:20" x14ac:dyDescent="0.25">
      <c r="B11" s="340" t="s">
        <v>513</v>
      </c>
      <c r="E11" s="361"/>
      <c r="F11" s="361"/>
      <c r="G11" s="361"/>
      <c r="H11" s="361"/>
      <c r="I11" s="362" t="s">
        <v>514</v>
      </c>
      <c r="J11" s="363">
        <v>15</v>
      </c>
      <c r="P11" s="341"/>
    </row>
    <row r="12" spans="2:20" x14ac:dyDescent="0.25">
      <c r="B12" s="340"/>
      <c r="C12" s="342"/>
      <c r="D12" s="342"/>
      <c r="E12" s="364"/>
      <c r="F12" s="364"/>
      <c r="G12" s="364"/>
      <c r="H12" s="364"/>
      <c r="I12" s="362" t="s">
        <v>515</v>
      </c>
      <c r="J12" s="363">
        <v>25</v>
      </c>
      <c r="K12" s="342"/>
      <c r="L12" s="342"/>
      <c r="M12" s="342"/>
      <c r="N12" s="342"/>
      <c r="O12" s="342"/>
      <c r="P12" s="343"/>
    </row>
    <row r="13" spans="2:20" ht="30.75" customHeight="1" x14ac:dyDescent="0.25">
      <c r="B13" s="739" t="s">
        <v>74</v>
      </c>
      <c r="C13" s="739" t="s">
        <v>268</v>
      </c>
      <c r="D13" s="742" t="s">
        <v>269</v>
      </c>
      <c r="E13" s="745" t="s">
        <v>516</v>
      </c>
      <c r="F13" s="746"/>
      <c r="G13" s="746"/>
      <c r="H13" s="746"/>
      <c r="I13" s="746"/>
      <c r="J13" s="747"/>
      <c r="K13" s="745" t="s">
        <v>517</v>
      </c>
      <c r="L13" s="746"/>
      <c r="M13" s="746"/>
      <c r="N13" s="747"/>
      <c r="O13" s="745" t="s">
        <v>518</v>
      </c>
      <c r="P13" s="747"/>
    </row>
    <row r="14" spans="2:20" ht="16.5" customHeight="1" x14ac:dyDescent="0.25">
      <c r="B14" s="740"/>
      <c r="C14" s="740"/>
      <c r="D14" s="742"/>
      <c r="E14" s="743" t="s">
        <v>27</v>
      </c>
      <c r="F14" s="744"/>
      <c r="G14" s="743" t="s">
        <v>28</v>
      </c>
      <c r="H14" s="744"/>
      <c r="I14" s="743" t="s">
        <v>29</v>
      </c>
      <c r="J14" s="744"/>
      <c r="K14" s="743" t="s">
        <v>30</v>
      </c>
      <c r="L14" s="744"/>
      <c r="M14" s="743" t="s">
        <v>31</v>
      </c>
      <c r="N14" s="744"/>
      <c r="O14" s="743" t="s">
        <v>519</v>
      </c>
      <c r="P14" s="744"/>
    </row>
    <row r="15" spans="2:20" ht="16.5" customHeight="1" x14ac:dyDescent="0.25">
      <c r="B15" s="741"/>
      <c r="C15" s="741"/>
      <c r="D15" s="742"/>
      <c r="E15" s="365" t="s">
        <v>270</v>
      </c>
      <c r="F15" s="365" t="s">
        <v>271</v>
      </c>
      <c r="G15" s="365" t="s">
        <v>270</v>
      </c>
      <c r="H15" s="365" t="s">
        <v>271</v>
      </c>
      <c r="I15" s="365" t="s">
        <v>270</v>
      </c>
      <c r="J15" s="365" t="s">
        <v>271</v>
      </c>
      <c r="K15" s="365" t="s">
        <v>270</v>
      </c>
      <c r="L15" s="365" t="s">
        <v>271</v>
      </c>
      <c r="M15" s="365" t="s">
        <v>270</v>
      </c>
      <c r="N15" s="365" t="s">
        <v>271</v>
      </c>
      <c r="O15" s="365" t="s">
        <v>270</v>
      </c>
      <c r="P15" s="365" t="s">
        <v>271</v>
      </c>
    </row>
    <row r="16" spans="2:20" x14ac:dyDescent="0.25">
      <c r="B16" s="682" t="s">
        <v>520</v>
      </c>
      <c r="C16" s="683"/>
      <c r="D16" s="683"/>
      <c r="E16" s="683"/>
      <c r="F16" s="683"/>
      <c r="G16" s="683"/>
      <c r="H16" s="683"/>
      <c r="I16" s="683"/>
      <c r="J16" s="683"/>
      <c r="K16" s="683"/>
      <c r="L16" s="683"/>
      <c r="M16" s="683"/>
      <c r="N16" s="683"/>
      <c r="O16" s="683"/>
      <c r="P16" s="683"/>
    </row>
    <row r="17" spans="2:16" x14ac:dyDescent="0.25">
      <c r="B17" s="352" t="s">
        <v>521</v>
      </c>
      <c r="C17" s="353"/>
      <c r="D17" s="353"/>
      <c r="E17" s="353"/>
      <c r="F17" s="353"/>
      <c r="G17" s="353"/>
      <c r="H17" s="353"/>
      <c r="I17" s="353"/>
      <c r="J17" s="353"/>
      <c r="K17" s="353"/>
      <c r="L17" s="353"/>
      <c r="M17" s="353"/>
      <c r="N17" s="353"/>
      <c r="O17" s="353"/>
      <c r="P17" s="353"/>
    </row>
    <row r="18" spans="2:16" x14ac:dyDescent="0.25">
      <c r="B18" s="366" t="s">
        <v>522</v>
      </c>
      <c r="C18" s="349" t="s">
        <v>523</v>
      </c>
      <c r="D18" s="357">
        <v>127.77</v>
      </c>
      <c r="E18" s="357">
        <v>3.1</v>
      </c>
      <c r="F18" s="357">
        <v>396.08</v>
      </c>
      <c r="G18" s="357"/>
      <c r="H18" s="357"/>
      <c r="I18" s="357"/>
      <c r="J18" s="357"/>
      <c r="K18" s="357"/>
      <c r="L18" s="357"/>
      <c r="M18" s="357"/>
      <c r="N18" s="357"/>
      <c r="O18" s="367"/>
      <c r="P18" s="367"/>
    </row>
    <row r="19" spans="2:16" x14ac:dyDescent="0.25">
      <c r="B19" s="346" t="s">
        <v>524</v>
      </c>
      <c r="C19" s="346" t="s">
        <v>525</v>
      </c>
      <c r="D19" s="356">
        <v>126.68</v>
      </c>
      <c r="E19" s="356">
        <v>1.4</v>
      </c>
      <c r="F19" s="356">
        <v>177.36</v>
      </c>
      <c r="G19" s="356"/>
      <c r="H19" s="356"/>
      <c r="I19" s="356"/>
      <c r="J19" s="356"/>
      <c r="K19" s="356"/>
      <c r="L19" s="356"/>
      <c r="M19" s="356"/>
      <c r="N19" s="356"/>
      <c r="O19" s="368"/>
      <c r="P19" s="368"/>
    </row>
    <row r="20" spans="2:16" x14ac:dyDescent="0.25">
      <c r="B20" s="349" t="s">
        <v>277</v>
      </c>
      <c r="C20" s="351" t="s">
        <v>526</v>
      </c>
      <c r="D20" s="367">
        <v>135.99</v>
      </c>
      <c r="E20" s="367">
        <v>1.55</v>
      </c>
      <c r="F20" s="367">
        <v>210.78</v>
      </c>
      <c r="G20" s="367"/>
      <c r="H20" s="367"/>
      <c r="I20" s="367">
        <v>0.5</v>
      </c>
      <c r="J20" s="367">
        <v>67.989999999999995</v>
      </c>
      <c r="K20" s="367"/>
      <c r="L20" s="367"/>
      <c r="M20" s="367"/>
      <c r="N20" s="367"/>
      <c r="O20" s="367">
        <v>0.5</v>
      </c>
      <c r="P20" s="367">
        <v>67.989999999999995</v>
      </c>
    </row>
    <row r="21" spans="2:16" x14ac:dyDescent="0.25">
      <c r="B21" s="346" t="s">
        <v>527</v>
      </c>
      <c r="C21" s="346" t="s">
        <v>528</v>
      </c>
      <c r="D21" s="356">
        <v>157.69999999999999</v>
      </c>
      <c r="E21" s="356">
        <v>0.7</v>
      </c>
      <c r="F21" s="356">
        <v>110.39</v>
      </c>
      <c r="G21" s="356"/>
      <c r="H21" s="356"/>
      <c r="I21" s="356"/>
      <c r="J21" s="356"/>
      <c r="K21" s="356"/>
      <c r="L21" s="356"/>
      <c r="M21" s="356"/>
      <c r="N21" s="356"/>
      <c r="O21" s="368"/>
      <c r="P21" s="368"/>
    </row>
    <row r="22" spans="2:16" x14ac:dyDescent="0.25">
      <c r="B22" s="349" t="s">
        <v>529</v>
      </c>
      <c r="C22" s="349" t="s">
        <v>530</v>
      </c>
      <c r="D22" s="357">
        <v>117.78</v>
      </c>
      <c r="E22" s="357">
        <v>3.4</v>
      </c>
      <c r="F22" s="357">
        <v>400.46</v>
      </c>
      <c r="G22" s="357"/>
      <c r="H22" s="357"/>
      <c r="I22" s="357"/>
      <c r="J22" s="357"/>
      <c r="K22" s="357"/>
      <c r="L22" s="357"/>
      <c r="M22" s="357"/>
      <c r="N22" s="357"/>
      <c r="O22" s="367"/>
      <c r="P22" s="367"/>
    </row>
    <row r="23" spans="2:16" x14ac:dyDescent="0.25">
      <c r="B23" s="346" t="s">
        <v>531</v>
      </c>
      <c r="C23" s="348" t="s">
        <v>532</v>
      </c>
      <c r="D23" s="368">
        <v>296.57</v>
      </c>
      <c r="E23" s="368">
        <v>0.4</v>
      </c>
      <c r="F23" s="368">
        <v>118.63</v>
      </c>
      <c r="G23" s="368"/>
      <c r="H23" s="368"/>
      <c r="I23" s="368"/>
      <c r="J23" s="368"/>
      <c r="K23" s="368"/>
      <c r="L23" s="368"/>
      <c r="M23" s="368"/>
      <c r="N23" s="368"/>
      <c r="O23" s="368"/>
      <c r="P23" s="368"/>
    </row>
    <row r="24" spans="2:16" x14ac:dyDescent="0.25">
      <c r="B24" s="344" t="s">
        <v>533</v>
      </c>
      <c r="C24" s="345"/>
      <c r="D24" s="369"/>
      <c r="E24" s="369"/>
      <c r="F24" s="369"/>
      <c r="G24" s="369"/>
      <c r="H24" s="369"/>
      <c r="I24" s="369"/>
      <c r="J24" s="369"/>
      <c r="K24" s="369"/>
      <c r="L24" s="369"/>
      <c r="M24" s="369"/>
      <c r="N24" s="369"/>
      <c r="O24" s="369"/>
      <c r="P24" s="369"/>
    </row>
    <row r="25" spans="2:16" x14ac:dyDescent="0.25">
      <c r="B25" s="346" t="s">
        <v>534</v>
      </c>
      <c r="C25" s="346" t="s">
        <v>535</v>
      </c>
      <c r="D25" s="356">
        <v>98.44</v>
      </c>
      <c r="E25" s="356">
        <v>6</v>
      </c>
      <c r="F25" s="356">
        <v>590.61</v>
      </c>
      <c r="G25" s="356"/>
      <c r="H25" s="356"/>
      <c r="I25" s="356"/>
      <c r="J25" s="356"/>
      <c r="K25" s="356"/>
      <c r="L25" s="356"/>
      <c r="M25" s="356"/>
      <c r="N25" s="356"/>
      <c r="O25" s="356"/>
      <c r="P25" s="356"/>
    </row>
    <row r="26" spans="2:16" x14ac:dyDescent="0.25">
      <c r="B26" s="349" t="s">
        <v>536</v>
      </c>
      <c r="C26" s="349" t="s">
        <v>537</v>
      </c>
      <c r="D26" s="357">
        <v>105.34</v>
      </c>
      <c r="E26" s="357">
        <v>1.55</v>
      </c>
      <c r="F26" s="357">
        <v>163.28</v>
      </c>
      <c r="G26" s="357"/>
      <c r="H26" s="357"/>
      <c r="I26" s="357"/>
      <c r="J26" s="357"/>
      <c r="K26" s="357"/>
      <c r="L26" s="357"/>
      <c r="M26" s="357"/>
      <c r="N26" s="357"/>
      <c r="O26" s="357"/>
      <c r="P26" s="357"/>
    </row>
    <row r="27" spans="2:16" x14ac:dyDescent="0.25">
      <c r="B27" s="346" t="s">
        <v>538</v>
      </c>
      <c r="C27" s="348" t="s">
        <v>539</v>
      </c>
      <c r="D27" s="368">
        <v>99.52</v>
      </c>
      <c r="E27" s="368">
        <v>1</v>
      </c>
      <c r="F27" s="368">
        <v>99.52</v>
      </c>
      <c r="G27" s="368"/>
      <c r="H27" s="368"/>
      <c r="I27" s="368"/>
      <c r="J27" s="368"/>
      <c r="K27" s="368"/>
      <c r="L27" s="368"/>
      <c r="M27" s="368"/>
      <c r="N27" s="368"/>
      <c r="O27" s="368"/>
      <c r="P27" s="368"/>
    </row>
    <row r="28" spans="2:16" x14ac:dyDescent="0.25">
      <c r="B28" s="344" t="s">
        <v>540</v>
      </c>
      <c r="C28" s="345"/>
      <c r="D28" s="369"/>
      <c r="E28" s="369"/>
      <c r="F28" s="369"/>
      <c r="G28" s="369"/>
      <c r="H28" s="369"/>
      <c r="I28" s="369"/>
      <c r="J28" s="369"/>
      <c r="K28" s="369"/>
      <c r="L28" s="369"/>
      <c r="M28" s="369"/>
      <c r="N28" s="369"/>
      <c r="O28" s="369"/>
      <c r="P28" s="369"/>
    </row>
    <row r="29" spans="2:16" x14ac:dyDescent="0.25">
      <c r="B29" s="346" t="s">
        <v>541</v>
      </c>
      <c r="C29" s="346" t="s">
        <v>542</v>
      </c>
      <c r="D29" s="356">
        <v>110.59</v>
      </c>
      <c r="E29" s="356">
        <v>11.8</v>
      </c>
      <c r="F29" s="356">
        <v>199.06</v>
      </c>
      <c r="G29" s="356">
        <v>4</v>
      </c>
      <c r="H29" s="356">
        <v>442.36</v>
      </c>
      <c r="I29" s="356">
        <v>4</v>
      </c>
      <c r="J29" s="356">
        <v>442.36</v>
      </c>
      <c r="K29" s="356">
        <v>4</v>
      </c>
      <c r="L29" s="356">
        <v>442.36</v>
      </c>
      <c r="M29" s="356">
        <v>4</v>
      </c>
      <c r="N29" s="356">
        <v>442.36</v>
      </c>
      <c r="O29" s="356">
        <v>4</v>
      </c>
      <c r="P29" s="356">
        <v>442.36</v>
      </c>
    </row>
    <row r="30" spans="2:16" x14ac:dyDescent="0.25">
      <c r="B30" s="349" t="s">
        <v>543</v>
      </c>
      <c r="C30" s="349" t="s">
        <v>544</v>
      </c>
      <c r="D30" s="357">
        <v>110.56</v>
      </c>
      <c r="E30" s="357">
        <v>2.5</v>
      </c>
      <c r="F30" s="357">
        <v>276.39</v>
      </c>
      <c r="G30" s="357">
        <v>4</v>
      </c>
      <c r="H30" s="357">
        <v>442.22</v>
      </c>
      <c r="I30" s="357">
        <v>4</v>
      </c>
      <c r="J30" s="357">
        <v>442.22</v>
      </c>
      <c r="K30" s="357">
        <v>3.5</v>
      </c>
      <c r="L30" s="357">
        <v>386.94</v>
      </c>
      <c r="M30" s="357">
        <v>3.25</v>
      </c>
      <c r="N30" s="357">
        <v>359.31</v>
      </c>
      <c r="O30" s="357">
        <v>3</v>
      </c>
      <c r="P30" s="357">
        <v>331.67</v>
      </c>
    </row>
    <row r="31" spans="2:16" x14ac:dyDescent="0.25">
      <c r="B31" s="346" t="s">
        <v>545</v>
      </c>
      <c r="C31" s="346" t="s">
        <v>546</v>
      </c>
      <c r="D31" s="356">
        <v>103</v>
      </c>
      <c r="E31" s="356">
        <v>0.5</v>
      </c>
      <c r="F31" s="356">
        <v>51.5</v>
      </c>
      <c r="G31" s="356"/>
      <c r="H31" s="356"/>
      <c r="I31" s="356">
        <v>0.5</v>
      </c>
      <c r="J31" s="356">
        <v>51.5</v>
      </c>
      <c r="K31" s="356"/>
      <c r="L31" s="356"/>
      <c r="M31" s="356"/>
      <c r="N31" s="356"/>
      <c r="O31" s="356">
        <v>0.25</v>
      </c>
      <c r="P31" s="356">
        <v>25.75</v>
      </c>
    </row>
    <row r="32" spans="2:16" x14ac:dyDescent="0.25">
      <c r="B32" s="349" t="s">
        <v>547</v>
      </c>
      <c r="C32" s="351" t="s">
        <v>548</v>
      </c>
      <c r="D32" s="367">
        <v>105.73</v>
      </c>
      <c r="E32" s="367">
        <v>2.5</v>
      </c>
      <c r="F32" s="367">
        <v>264.32</v>
      </c>
      <c r="G32" s="367">
        <v>5</v>
      </c>
      <c r="H32" s="367">
        <v>528.65</v>
      </c>
      <c r="I32" s="367">
        <v>5</v>
      </c>
      <c r="J32" s="367">
        <v>528.65</v>
      </c>
      <c r="K32" s="367">
        <v>5</v>
      </c>
      <c r="L32" s="367">
        <v>528.65</v>
      </c>
      <c r="M32" s="367">
        <v>5</v>
      </c>
      <c r="N32" s="367">
        <v>528.65</v>
      </c>
      <c r="O32" s="367">
        <v>5</v>
      </c>
      <c r="P32" s="367">
        <v>528.65</v>
      </c>
    </row>
    <row r="33" spans="2:18" x14ac:dyDescent="0.25">
      <c r="B33" s="346" t="s">
        <v>549</v>
      </c>
      <c r="C33" s="346" t="s">
        <v>550</v>
      </c>
      <c r="D33" s="356">
        <v>123.98</v>
      </c>
      <c r="E33" s="356">
        <v>0.4</v>
      </c>
      <c r="F33" s="356">
        <v>49.59</v>
      </c>
      <c r="G33" s="356">
        <v>2</v>
      </c>
      <c r="H33" s="356">
        <v>247.95</v>
      </c>
      <c r="I33" s="356">
        <v>5</v>
      </c>
      <c r="J33" s="356">
        <v>619.88</v>
      </c>
      <c r="K33" s="356">
        <v>6</v>
      </c>
      <c r="L33" s="356">
        <v>743.86</v>
      </c>
      <c r="M33" s="356">
        <v>7</v>
      </c>
      <c r="N33" s="356">
        <v>867.84</v>
      </c>
      <c r="O33" s="356">
        <v>7</v>
      </c>
      <c r="P33" s="356">
        <v>867.84</v>
      </c>
    </row>
    <row r="34" spans="2:18" x14ac:dyDescent="0.25">
      <c r="B34" s="349" t="s">
        <v>551</v>
      </c>
      <c r="C34" s="349" t="s">
        <v>552</v>
      </c>
      <c r="D34" s="357">
        <v>99.72</v>
      </c>
      <c r="E34" s="357">
        <v>0.3</v>
      </c>
      <c r="F34" s="357">
        <v>29.92</v>
      </c>
      <c r="G34" s="357">
        <v>0.3</v>
      </c>
      <c r="H34" s="357">
        <v>29.92</v>
      </c>
      <c r="I34" s="357">
        <v>0.3</v>
      </c>
      <c r="J34" s="357">
        <v>29.92</v>
      </c>
      <c r="K34" s="357">
        <v>0.3</v>
      </c>
      <c r="L34" s="357">
        <v>29.92</v>
      </c>
      <c r="M34" s="357">
        <v>0.3</v>
      </c>
      <c r="N34" s="357">
        <v>29.92</v>
      </c>
      <c r="O34" s="357">
        <v>0.3</v>
      </c>
      <c r="P34" s="357">
        <v>29.92</v>
      </c>
    </row>
    <row r="35" spans="2:18" x14ac:dyDescent="0.25">
      <c r="B35" s="352" t="s">
        <v>553</v>
      </c>
      <c r="C35" s="353"/>
      <c r="D35" s="370"/>
      <c r="E35" s="370"/>
      <c r="F35" s="370"/>
      <c r="G35" s="370"/>
      <c r="H35" s="370"/>
      <c r="I35" s="370"/>
      <c r="J35" s="370"/>
      <c r="K35" s="370"/>
      <c r="L35" s="370"/>
      <c r="M35" s="370"/>
      <c r="N35" s="370"/>
      <c r="O35" s="370"/>
      <c r="P35" s="370"/>
    </row>
    <row r="36" spans="2:18" x14ac:dyDescent="0.25">
      <c r="B36" s="349" t="s">
        <v>554</v>
      </c>
      <c r="C36" s="351" t="s">
        <v>17</v>
      </c>
      <c r="D36" s="367">
        <v>1121.31</v>
      </c>
      <c r="E36" s="367"/>
      <c r="F36" s="367"/>
      <c r="G36" s="367">
        <v>1</v>
      </c>
      <c r="H36" s="367">
        <v>1121.31</v>
      </c>
      <c r="I36" s="367">
        <v>1</v>
      </c>
      <c r="J36" s="367">
        <v>1121.31</v>
      </c>
      <c r="K36" s="367">
        <v>1</v>
      </c>
      <c r="L36" s="367">
        <v>1121.31</v>
      </c>
      <c r="M36" s="367">
        <v>1</v>
      </c>
      <c r="N36" s="367">
        <v>1121.31</v>
      </c>
      <c r="O36" s="367">
        <v>1</v>
      </c>
      <c r="P36" s="367">
        <v>1121.31</v>
      </c>
    </row>
    <row r="37" spans="2:18" x14ac:dyDescent="0.25">
      <c r="B37" s="352" t="s">
        <v>555</v>
      </c>
      <c r="C37" s="353"/>
      <c r="D37" s="370"/>
      <c r="E37" s="370"/>
      <c r="F37" s="370"/>
      <c r="G37" s="370"/>
      <c r="H37" s="370"/>
      <c r="I37" s="370"/>
      <c r="J37" s="370"/>
      <c r="K37" s="370"/>
      <c r="L37" s="370"/>
      <c r="M37" s="370"/>
      <c r="N37" s="370"/>
      <c r="O37" s="370"/>
      <c r="P37" s="370"/>
    </row>
    <row r="38" spans="2:18" x14ac:dyDescent="0.25">
      <c r="B38" s="349" t="s">
        <v>433</v>
      </c>
      <c r="C38" s="349" t="s">
        <v>291</v>
      </c>
      <c r="D38" s="357">
        <v>146.77000000000001</v>
      </c>
      <c r="E38" s="357"/>
      <c r="F38" s="357"/>
      <c r="G38" s="357"/>
      <c r="H38" s="357"/>
      <c r="I38" s="357">
        <v>1.5</v>
      </c>
      <c r="J38" s="357">
        <v>220.15</v>
      </c>
      <c r="K38" s="357">
        <v>2.5</v>
      </c>
      <c r="L38" s="357">
        <v>366.92</v>
      </c>
      <c r="M38" s="357">
        <v>3</v>
      </c>
      <c r="N38" s="357">
        <v>440.31</v>
      </c>
      <c r="O38" s="357">
        <v>4</v>
      </c>
      <c r="P38" s="357">
        <v>587.08000000000004</v>
      </c>
      <c r="R38" s="666" t="s">
        <v>206</v>
      </c>
    </row>
    <row r="39" spans="2:18" x14ac:dyDescent="0.25">
      <c r="B39" s="344" t="s">
        <v>492</v>
      </c>
      <c r="C39" s="344" t="s">
        <v>493</v>
      </c>
      <c r="D39" s="354"/>
      <c r="E39" s="354"/>
      <c r="F39" s="355">
        <f>SUM(F18:F38)</f>
        <v>3137.8900000000003</v>
      </c>
      <c r="G39" s="354"/>
      <c r="H39" s="355">
        <f>SUM(H18:H38)</f>
        <v>2812.41</v>
      </c>
      <c r="I39" s="354"/>
      <c r="J39" s="355">
        <f>SUM(J18:J38)</f>
        <v>3523.98</v>
      </c>
      <c r="K39" s="354"/>
      <c r="L39" s="355">
        <f>SUM(L18:L38)</f>
        <v>3619.96</v>
      </c>
      <c r="M39" s="354"/>
      <c r="N39" s="355">
        <f>SUM(N18:N38)</f>
        <v>3789.7000000000003</v>
      </c>
      <c r="O39" s="354"/>
      <c r="P39" s="355">
        <f>SUM(P18:P38)</f>
        <v>4002.57</v>
      </c>
      <c r="R39" s="666"/>
    </row>
    <row r="40" spans="2:18" x14ac:dyDescent="0.25">
      <c r="B40" s="682" t="s">
        <v>411</v>
      </c>
      <c r="C40" s="683"/>
      <c r="D40" s="683"/>
      <c r="E40" s="683"/>
      <c r="F40" s="683"/>
      <c r="G40" s="683"/>
      <c r="H40" s="683"/>
      <c r="I40" s="683"/>
      <c r="J40" s="683"/>
      <c r="K40" s="683"/>
      <c r="L40" s="683"/>
      <c r="M40" s="683"/>
      <c r="N40" s="683"/>
      <c r="O40" s="683"/>
      <c r="P40" s="683"/>
      <c r="R40" s="666"/>
    </row>
    <row r="41" spans="2:18" x14ac:dyDescent="0.25">
      <c r="B41" s="352" t="s">
        <v>556</v>
      </c>
      <c r="C41" s="353"/>
      <c r="D41" s="353"/>
      <c r="E41" s="353"/>
      <c r="F41" s="353"/>
      <c r="G41" s="353"/>
      <c r="H41" s="353"/>
      <c r="I41" s="353"/>
      <c r="J41" s="353"/>
      <c r="K41" s="353"/>
      <c r="L41" s="353"/>
      <c r="M41" s="353"/>
      <c r="N41" s="353"/>
      <c r="O41" s="353"/>
      <c r="P41" s="353"/>
      <c r="R41" s="666"/>
    </row>
    <row r="42" spans="2:18" x14ac:dyDescent="0.25">
      <c r="B42" s="349" t="s">
        <v>277</v>
      </c>
      <c r="C42" s="349" t="s">
        <v>413</v>
      </c>
      <c r="D42" s="357">
        <v>61.19</v>
      </c>
      <c r="E42" s="357">
        <v>0.25</v>
      </c>
      <c r="F42" s="357">
        <v>15.3</v>
      </c>
      <c r="G42" s="357"/>
      <c r="H42" s="357"/>
      <c r="I42" s="357">
        <v>0.25</v>
      </c>
      <c r="J42" s="357">
        <v>15.3</v>
      </c>
      <c r="K42" s="357"/>
      <c r="L42" s="357"/>
      <c r="M42" s="357"/>
      <c r="N42" s="357"/>
      <c r="O42" s="367">
        <v>0.13</v>
      </c>
      <c r="P42" s="367">
        <v>7.95</v>
      </c>
      <c r="R42" s="666"/>
    </row>
    <row r="43" spans="2:18" x14ac:dyDescent="0.25">
      <c r="B43" s="346" t="s">
        <v>414</v>
      </c>
      <c r="C43" s="346" t="s">
        <v>415</v>
      </c>
      <c r="D43" s="356">
        <v>425.62</v>
      </c>
      <c r="E43" s="356">
        <v>0.2</v>
      </c>
      <c r="F43" s="356">
        <v>85.12</v>
      </c>
      <c r="G43" s="356"/>
      <c r="H43" s="356"/>
      <c r="I43" s="356"/>
      <c r="J43" s="356"/>
      <c r="K43" s="356"/>
      <c r="L43" s="356"/>
      <c r="M43" s="356"/>
      <c r="N43" s="356"/>
      <c r="O43" s="368"/>
      <c r="P43" s="368"/>
      <c r="R43" s="666"/>
    </row>
    <row r="44" spans="2:18" x14ac:dyDescent="0.25">
      <c r="B44" s="344" t="s">
        <v>557</v>
      </c>
      <c r="C44" s="345"/>
      <c r="D44" s="371"/>
      <c r="E44" s="371"/>
      <c r="F44" s="371"/>
      <c r="G44" s="371"/>
      <c r="H44" s="371"/>
      <c r="I44" s="371"/>
      <c r="J44" s="371"/>
      <c r="K44" s="371"/>
      <c r="L44" s="371"/>
      <c r="M44" s="371"/>
      <c r="N44" s="371"/>
      <c r="O44" s="371"/>
      <c r="P44" s="371"/>
      <c r="R44" s="666"/>
    </row>
    <row r="45" spans="2:18" x14ac:dyDescent="0.25">
      <c r="B45" s="346" t="s">
        <v>534</v>
      </c>
      <c r="C45" s="346" t="s">
        <v>413</v>
      </c>
      <c r="D45" s="356">
        <v>61.19</v>
      </c>
      <c r="E45" s="356">
        <v>4</v>
      </c>
      <c r="F45" s="356">
        <v>244.76</v>
      </c>
      <c r="G45" s="356"/>
      <c r="H45" s="356"/>
      <c r="I45" s="356"/>
      <c r="J45" s="356"/>
      <c r="K45" s="356"/>
      <c r="L45" s="356"/>
      <c r="M45" s="356"/>
      <c r="N45" s="356"/>
      <c r="O45" s="356"/>
      <c r="P45" s="356"/>
      <c r="R45" s="666"/>
    </row>
    <row r="46" spans="2:18" x14ac:dyDescent="0.25">
      <c r="B46" s="349" t="s">
        <v>558</v>
      </c>
      <c r="C46" s="349" t="s">
        <v>413</v>
      </c>
      <c r="D46" s="357">
        <v>61.19</v>
      </c>
      <c r="E46" s="357">
        <v>1.5</v>
      </c>
      <c r="F46" s="357">
        <v>91.79</v>
      </c>
      <c r="G46" s="357"/>
      <c r="H46" s="357"/>
      <c r="I46" s="357"/>
      <c r="J46" s="357"/>
      <c r="K46" s="357"/>
      <c r="L46" s="357"/>
      <c r="M46" s="357"/>
      <c r="N46" s="357"/>
      <c r="O46" s="357"/>
      <c r="P46" s="357"/>
      <c r="R46" s="666"/>
    </row>
    <row r="47" spans="2:18" x14ac:dyDescent="0.25">
      <c r="B47" s="346" t="s">
        <v>559</v>
      </c>
      <c r="C47" s="346" t="s">
        <v>413</v>
      </c>
      <c r="D47" s="356">
        <v>61.19</v>
      </c>
      <c r="E47" s="356">
        <v>2.5</v>
      </c>
      <c r="F47" s="356">
        <v>152.97999999999999</v>
      </c>
      <c r="G47" s="356"/>
      <c r="H47" s="356"/>
      <c r="I47" s="356"/>
      <c r="J47" s="356"/>
      <c r="K47" s="356"/>
      <c r="L47" s="356"/>
      <c r="M47" s="356"/>
      <c r="N47" s="356"/>
      <c r="O47" s="356"/>
      <c r="P47" s="356"/>
      <c r="R47" s="666"/>
    </row>
    <row r="48" spans="2:18" x14ac:dyDescent="0.25">
      <c r="B48" s="349" t="s">
        <v>538</v>
      </c>
      <c r="C48" s="349" t="s">
        <v>413</v>
      </c>
      <c r="D48" s="357">
        <v>61.19</v>
      </c>
      <c r="E48" s="357">
        <v>0.5</v>
      </c>
      <c r="F48" s="357">
        <v>30.6</v>
      </c>
      <c r="G48" s="357"/>
      <c r="H48" s="357"/>
      <c r="I48" s="357"/>
      <c r="J48" s="357"/>
      <c r="K48" s="357"/>
      <c r="L48" s="357"/>
      <c r="M48" s="357"/>
      <c r="N48" s="357"/>
      <c r="O48" s="357"/>
      <c r="P48" s="357"/>
      <c r="R48" s="666"/>
    </row>
    <row r="49" spans="2:16" x14ac:dyDescent="0.25">
      <c r="B49" s="346" t="s">
        <v>560</v>
      </c>
      <c r="C49" s="346" t="s">
        <v>413</v>
      </c>
      <c r="D49" s="356">
        <v>61.19</v>
      </c>
      <c r="E49" s="356">
        <v>2.1</v>
      </c>
      <c r="F49" s="356">
        <v>128.5</v>
      </c>
      <c r="G49" s="356"/>
      <c r="H49" s="356"/>
      <c r="I49" s="356"/>
      <c r="J49" s="356"/>
      <c r="K49" s="356"/>
      <c r="L49" s="356"/>
      <c r="M49" s="356"/>
      <c r="N49" s="356"/>
      <c r="O49" s="356"/>
      <c r="P49" s="356"/>
    </row>
    <row r="50" spans="2:16" x14ac:dyDescent="0.25">
      <c r="B50" s="349" t="s">
        <v>420</v>
      </c>
      <c r="C50" s="349" t="s">
        <v>413</v>
      </c>
      <c r="D50" s="357">
        <v>61.19</v>
      </c>
      <c r="E50" s="357">
        <v>2</v>
      </c>
      <c r="F50" s="357">
        <v>122.38</v>
      </c>
      <c r="G50" s="357"/>
      <c r="H50" s="357"/>
      <c r="I50" s="357"/>
      <c r="J50" s="357"/>
      <c r="K50" s="357"/>
      <c r="L50" s="357"/>
      <c r="M50" s="357"/>
      <c r="N50" s="357"/>
      <c r="O50" s="357"/>
      <c r="P50" s="357"/>
    </row>
    <row r="51" spans="2:16" x14ac:dyDescent="0.25">
      <c r="B51" s="346" t="s">
        <v>561</v>
      </c>
      <c r="C51" s="346" t="s">
        <v>413</v>
      </c>
      <c r="D51" s="356">
        <v>61.19</v>
      </c>
      <c r="E51" s="356">
        <v>2</v>
      </c>
      <c r="F51" s="356">
        <v>122.38</v>
      </c>
      <c r="G51" s="356"/>
      <c r="H51" s="356"/>
      <c r="I51" s="356"/>
      <c r="J51" s="356"/>
      <c r="K51" s="356"/>
      <c r="L51" s="356"/>
      <c r="M51" s="356"/>
      <c r="N51" s="356"/>
      <c r="O51" s="356"/>
      <c r="P51" s="356"/>
    </row>
    <row r="52" spans="2:16" x14ac:dyDescent="0.25">
      <c r="B52" s="344" t="s">
        <v>562</v>
      </c>
      <c r="C52" s="345"/>
      <c r="D52" s="371"/>
      <c r="E52" s="371"/>
      <c r="F52" s="371"/>
      <c r="G52" s="371"/>
      <c r="H52" s="371"/>
      <c r="I52" s="371"/>
      <c r="J52" s="371"/>
      <c r="K52" s="371"/>
      <c r="L52" s="371"/>
      <c r="M52" s="371"/>
      <c r="N52" s="371"/>
      <c r="O52" s="371"/>
      <c r="P52" s="371"/>
    </row>
    <row r="53" spans="2:16" x14ac:dyDescent="0.25">
      <c r="B53" s="346" t="s">
        <v>563</v>
      </c>
      <c r="C53" s="348" t="s">
        <v>413</v>
      </c>
      <c r="D53" s="368">
        <v>61.19</v>
      </c>
      <c r="E53" s="368">
        <v>1</v>
      </c>
      <c r="F53" s="368">
        <v>61.19</v>
      </c>
      <c r="G53" s="368">
        <v>2</v>
      </c>
      <c r="H53" s="368">
        <v>122.38</v>
      </c>
      <c r="I53" s="368">
        <v>3</v>
      </c>
      <c r="J53" s="368">
        <v>183.57</v>
      </c>
      <c r="K53" s="368">
        <v>4</v>
      </c>
      <c r="L53" s="368">
        <v>244.76</v>
      </c>
      <c r="M53" s="368">
        <v>2</v>
      </c>
      <c r="N53" s="368">
        <v>122.38</v>
      </c>
      <c r="O53" s="368">
        <v>2</v>
      </c>
      <c r="P53" s="368">
        <v>122.38</v>
      </c>
    </row>
    <row r="54" spans="2:16" x14ac:dyDescent="0.25">
      <c r="B54" s="349" t="s">
        <v>547</v>
      </c>
      <c r="C54" s="349" t="s">
        <v>413</v>
      </c>
      <c r="D54" s="357">
        <v>61.19</v>
      </c>
      <c r="E54" s="357">
        <v>1.5</v>
      </c>
      <c r="F54" s="357">
        <v>91.79</v>
      </c>
      <c r="G54" s="357">
        <v>2.5</v>
      </c>
      <c r="H54" s="357">
        <v>152.97999999999999</v>
      </c>
      <c r="I54" s="357">
        <v>2.5</v>
      </c>
      <c r="J54" s="357">
        <v>152.97999999999999</v>
      </c>
      <c r="K54" s="357">
        <v>2.5</v>
      </c>
      <c r="L54" s="357">
        <v>152.97999999999999</v>
      </c>
      <c r="M54" s="357">
        <v>3</v>
      </c>
      <c r="N54" s="357">
        <v>183.57</v>
      </c>
      <c r="O54" s="357">
        <v>3</v>
      </c>
      <c r="P54" s="357">
        <v>183.57</v>
      </c>
    </row>
    <row r="55" spans="2:16" x14ac:dyDescent="0.25">
      <c r="B55" s="346" t="s">
        <v>564</v>
      </c>
      <c r="C55" s="346" t="s">
        <v>413</v>
      </c>
      <c r="D55" s="356">
        <v>61.19</v>
      </c>
      <c r="E55" s="356"/>
      <c r="F55" s="356"/>
      <c r="G55" s="356"/>
      <c r="H55" s="356"/>
      <c r="I55" s="356">
        <v>1.5</v>
      </c>
      <c r="J55" s="356">
        <v>91.79</v>
      </c>
      <c r="K55" s="356">
        <v>2.5</v>
      </c>
      <c r="L55" s="356">
        <v>152.97999999999999</v>
      </c>
      <c r="M55" s="356">
        <v>3</v>
      </c>
      <c r="N55" s="356">
        <v>183.57</v>
      </c>
      <c r="O55" s="356">
        <v>3.5</v>
      </c>
      <c r="P55" s="356">
        <v>214.17</v>
      </c>
    </row>
    <row r="56" spans="2:16" x14ac:dyDescent="0.25">
      <c r="B56" s="349" t="s">
        <v>565</v>
      </c>
      <c r="C56" s="351" t="s">
        <v>413</v>
      </c>
      <c r="D56" s="367">
        <v>61.19</v>
      </c>
      <c r="E56" s="367"/>
      <c r="F56" s="367"/>
      <c r="G56" s="367"/>
      <c r="H56" s="367"/>
      <c r="I56" s="367">
        <v>1</v>
      </c>
      <c r="J56" s="367">
        <v>61.19</v>
      </c>
      <c r="K56" s="367">
        <v>2</v>
      </c>
      <c r="L56" s="367">
        <v>122.38</v>
      </c>
      <c r="M56" s="367">
        <v>3</v>
      </c>
      <c r="N56" s="367">
        <v>183.57</v>
      </c>
      <c r="O56" s="367">
        <v>4</v>
      </c>
      <c r="P56" s="367">
        <v>244.76</v>
      </c>
    </row>
    <row r="57" spans="2:16" x14ac:dyDescent="0.25">
      <c r="B57" s="346" t="s">
        <v>566</v>
      </c>
      <c r="C57" s="346" t="s">
        <v>413</v>
      </c>
      <c r="D57" s="356">
        <v>61.19</v>
      </c>
      <c r="E57" s="356"/>
      <c r="F57" s="356"/>
      <c r="G57" s="356"/>
      <c r="H57" s="356"/>
      <c r="I57" s="356">
        <v>2.5</v>
      </c>
      <c r="J57" s="356">
        <v>152.97999999999999</v>
      </c>
      <c r="K57" s="356">
        <v>2.5</v>
      </c>
      <c r="L57" s="356">
        <v>152.97999999999999</v>
      </c>
      <c r="M57" s="356">
        <v>1.5</v>
      </c>
      <c r="N57" s="356">
        <v>91.79</v>
      </c>
      <c r="O57" s="356"/>
      <c r="P57" s="356"/>
    </row>
    <row r="58" spans="2:16" x14ac:dyDescent="0.25">
      <c r="B58" s="349" t="s">
        <v>567</v>
      </c>
      <c r="C58" s="349" t="s">
        <v>413</v>
      </c>
      <c r="D58" s="357">
        <v>61.19</v>
      </c>
      <c r="E58" s="357"/>
      <c r="F58" s="357"/>
      <c r="G58" s="357"/>
      <c r="H58" s="357"/>
      <c r="I58" s="357">
        <v>1.5</v>
      </c>
      <c r="J58" s="357">
        <v>91.79</v>
      </c>
      <c r="K58" s="357">
        <v>3</v>
      </c>
      <c r="L58" s="357">
        <v>183.57</v>
      </c>
      <c r="M58" s="357">
        <v>4</v>
      </c>
      <c r="N58" s="357">
        <v>244.76</v>
      </c>
      <c r="O58" s="357">
        <v>6</v>
      </c>
      <c r="P58" s="357">
        <v>367.15</v>
      </c>
    </row>
    <row r="59" spans="2:16" x14ac:dyDescent="0.25">
      <c r="B59" s="346" t="s">
        <v>568</v>
      </c>
      <c r="C59" s="346" t="s">
        <v>413</v>
      </c>
      <c r="D59" s="356">
        <v>61.19</v>
      </c>
      <c r="E59" s="356"/>
      <c r="F59" s="356"/>
      <c r="G59" s="356"/>
      <c r="H59" s="356"/>
      <c r="I59" s="356">
        <v>1</v>
      </c>
      <c r="J59" s="356">
        <v>61.19</v>
      </c>
      <c r="K59" s="356"/>
      <c r="L59" s="356"/>
      <c r="M59" s="356">
        <v>1</v>
      </c>
      <c r="N59" s="356">
        <v>61.19</v>
      </c>
      <c r="O59" s="356">
        <v>0.5</v>
      </c>
      <c r="P59" s="356">
        <v>30.6</v>
      </c>
    </row>
    <row r="60" spans="2:16" x14ac:dyDescent="0.25">
      <c r="B60" s="349" t="s">
        <v>569</v>
      </c>
      <c r="C60" s="349" t="s">
        <v>413</v>
      </c>
      <c r="D60" s="357">
        <v>61.19</v>
      </c>
      <c r="E60" s="357">
        <v>5</v>
      </c>
      <c r="F60" s="357">
        <v>305.95999999999998</v>
      </c>
      <c r="G60" s="357">
        <v>10</v>
      </c>
      <c r="H60" s="357">
        <v>611.91</v>
      </c>
      <c r="I60" s="357">
        <v>10</v>
      </c>
      <c r="J60" s="357">
        <v>611.91</v>
      </c>
      <c r="K60" s="357">
        <v>4</v>
      </c>
      <c r="L60" s="357">
        <v>244.76</v>
      </c>
      <c r="M60" s="357">
        <v>2</v>
      </c>
      <c r="N60" s="357">
        <v>122.38</v>
      </c>
      <c r="O60" s="357"/>
      <c r="P60" s="357"/>
    </row>
    <row r="61" spans="2:16" x14ac:dyDescent="0.25">
      <c r="B61" s="372" t="s">
        <v>570</v>
      </c>
      <c r="C61" s="372" t="s">
        <v>413</v>
      </c>
      <c r="D61" s="373">
        <v>61.19</v>
      </c>
      <c r="E61" s="373">
        <v>6</v>
      </c>
      <c r="F61" s="373">
        <v>367.15</v>
      </c>
      <c r="G61" s="373">
        <v>2.4</v>
      </c>
      <c r="H61" s="373">
        <v>146.86000000000001</v>
      </c>
      <c r="I61" s="373">
        <v>1.2</v>
      </c>
      <c r="J61" s="373">
        <v>73.430000000000007</v>
      </c>
      <c r="K61" s="373">
        <v>0.6</v>
      </c>
      <c r="L61" s="373">
        <v>36.71</v>
      </c>
      <c r="M61" s="373">
        <v>0.6</v>
      </c>
      <c r="N61" s="373">
        <v>36.71</v>
      </c>
      <c r="O61" s="373">
        <v>0.6</v>
      </c>
      <c r="P61" s="356">
        <v>36.71</v>
      </c>
    </row>
    <row r="62" spans="2:16" x14ac:dyDescent="0.25">
      <c r="B62" s="358" t="s">
        <v>554</v>
      </c>
      <c r="C62" s="358" t="s">
        <v>413</v>
      </c>
      <c r="D62" s="374">
        <v>61.19</v>
      </c>
      <c r="E62" s="374">
        <v>3.13</v>
      </c>
      <c r="F62" s="374">
        <v>191.22</v>
      </c>
      <c r="G62" s="374">
        <v>3.13</v>
      </c>
      <c r="H62" s="374">
        <v>191.22</v>
      </c>
      <c r="I62" s="374">
        <v>3.13</v>
      </c>
      <c r="J62" s="374">
        <v>191.22</v>
      </c>
      <c r="K62" s="374">
        <v>3.13</v>
      </c>
      <c r="L62" s="374">
        <v>191.22</v>
      </c>
      <c r="M62" s="374">
        <v>3.13</v>
      </c>
      <c r="N62" s="374">
        <v>191.22</v>
      </c>
      <c r="O62" s="374">
        <v>3.13</v>
      </c>
      <c r="P62" s="357">
        <v>191.22</v>
      </c>
    </row>
    <row r="63" spans="2:16" x14ac:dyDescent="0.25">
      <c r="B63" s="352" t="s">
        <v>571</v>
      </c>
      <c r="C63" s="353"/>
      <c r="D63" s="375"/>
      <c r="E63" s="375"/>
      <c r="F63" s="375"/>
      <c r="G63" s="375"/>
      <c r="H63" s="375"/>
      <c r="I63" s="375"/>
      <c r="J63" s="375"/>
      <c r="K63" s="375"/>
      <c r="L63" s="375"/>
      <c r="M63" s="375"/>
      <c r="N63" s="375"/>
      <c r="O63" s="375"/>
      <c r="P63" s="375"/>
    </row>
    <row r="64" spans="2:16" x14ac:dyDescent="0.25">
      <c r="B64" s="358" t="s">
        <v>433</v>
      </c>
      <c r="C64" s="358" t="s">
        <v>413</v>
      </c>
      <c r="D64" s="374">
        <v>61.19</v>
      </c>
      <c r="E64" s="374"/>
      <c r="F64" s="374"/>
      <c r="G64" s="374"/>
      <c r="H64" s="374"/>
      <c r="I64" s="374">
        <v>6</v>
      </c>
      <c r="J64" s="374">
        <v>367.15</v>
      </c>
      <c r="K64" s="374">
        <v>10</v>
      </c>
      <c r="L64" s="374">
        <v>611.91</v>
      </c>
      <c r="M64" s="374">
        <v>12</v>
      </c>
      <c r="N64" s="374">
        <v>734.29</v>
      </c>
      <c r="O64" s="374">
        <v>15</v>
      </c>
      <c r="P64" s="357">
        <v>917.87</v>
      </c>
    </row>
    <row r="65" spans="2:16" x14ac:dyDescent="0.25">
      <c r="B65" s="372" t="s">
        <v>572</v>
      </c>
      <c r="C65" s="372" t="s">
        <v>413</v>
      </c>
      <c r="D65" s="373">
        <v>61.19</v>
      </c>
      <c r="E65" s="373"/>
      <c r="F65" s="373"/>
      <c r="G65" s="373"/>
      <c r="H65" s="373"/>
      <c r="I65" s="373">
        <v>0.5</v>
      </c>
      <c r="J65" s="373">
        <v>30.6</v>
      </c>
      <c r="K65" s="373">
        <v>1</v>
      </c>
      <c r="L65" s="373">
        <v>61.19</v>
      </c>
      <c r="M65" s="373">
        <v>1.5</v>
      </c>
      <c r="N65" s="373">
        <v>91.79</v>
      </c>
      <c r="O65" s="373">
        <v>2</v>
      </c>
      <c r="P65" s="356">
        <v>122.38</v>
      </c>
    </row>
    <row r="66" spans="2:16" x14ac:dyDescent="0.25">
      <c r="B66" s="344" t="s">
        <v>497</v>
      </c>
      <c r="C66" s="344" t="s">
        <v>493</v>
      </c>
      <c r="D66" s="354"/>
      <c r="E66" s="354"/>
      <c r="F66" s="355">
        <f>SUM(F42:F65)</f>
        <v>2011.1200000000001</v>
      </c>
      <c r="G66" s="354"/>
      <c r="H66" s="355">
        <f>SUM(H42:H65)</f>
        <v>1225.3500000000001</v>
      </c>
      <c r="I66" s="354"/>
      <c r="J66" s="355">
        <f>SUM(J42:J65)</f>
        <v>2085.1</v>
      </c>
      <c r="K66" s="354"/>
      <c r="L66" s="355">
        <f>SUM(L42:L65)</f>
        <v>2155.44</v>
      </c>
      <c r="M66" s="354"/>
      <c r="N66" s="355">
        <f>SUM(N42:N65)</f>
        <v>2247.2200000000003</v>
      </c>
      <c r="O66" s="354"/>
      <c r="P66" s="355">
        <f>SUM(P42:P65)</f>
        <v>2438.7600000000002</v>
      </c>
    </row>
    <row r="67" spans="2:16" x14ac:dyDescent="0.25">
      <c r="B67" s="344" t="s">
        <v>435</v>
      </c>
      <c r="C67" s="344"/>
      <c r="D67" s="354"/>
      <c r="E67" s="354"/>
      <c r="F67" s="355">
        <v>5149</v>
      </c>
      <c r="G67" s="354"/>
      <c r="H67" s="355">
        <v>4038</v>
      </c>
      <c r="I67" s="354"/>
      <c r="J67" s="355">
        <v>5609</v>
      </c>
      <c r="K67" s="354"/>
      <c r="L67" s="355">
        <v>5775</v>
      </c>
      <c r="M67" s="354"/>
      <c r="N67" s="355">
        <v>6037</v>
      </c>
      <c r="O67" s="354"/>
      <c r="P67" s="355">
        <v>6441</v>
      </c>
    </row>
    <row r="68" spans="2:16" x14ac:dyDescent="0.25">
      <c r="B68" s="682" t="s">
        <v>573</v>
      </c>
      <c r="C68" s="683"/>
      <c r="D68" s="683"/>
      <c r="E68" s="683"/>
      <c r="F68" s="683"/>
      <c r="G68" s="683"/>
      <c r="H68" s="683"/>
      <c r="I68" s="683"/>
      <c r="J68" s="683"/>
      <c r="K68" s="683"/>
      <c r="L68" s="683"/>
      <c r="M68" s="683"/>
      <c r="N68" s="683"/>
      <c r="O68" s="683"/>
      <c r="P68" s="683"/>
    </row>
    <row r="69" spans="2:16" x14ac:dyDescent="0.25">
      <c r="B69" s="352" t="s">
        <v>574</v>
      </c>
      <c r="C69" s="353"/>
      <c r="D69" s="353"/>
      <c r="E69" s="353"/>
      <c r="F69" s="353"/>
      <c r="G69" s="353"/>
      <c r="H69" s="353"/>
      <c r="I69" s="353"/>
      <c r="J69" s="353"/>
      <c r="K69" s="353"/>
      <c r="L69" s="353"/>
      <c r="M69" s="353"/>
      <c r="N69" s="353"/>
      <c r="O69" s="353"/>
      <c r="P69" s="353"/>
    </row>
    <row r="70" spans="2:16" x14ac:dyDescent="0.25">
      <c r="B70" s="349" t="s">
        <v>438</v>
      </c>
      <c r="C70" s="349" t="s">
        <v>320</v>
      </c>
      <c r="D70" s="350">
        <v>321</v>
      </c>
      <c r="E70" s="350">
        <v>3</v>
      </c>
      <c r="F70" s="350">
        <v>963</v>
      </c>
      <c r="G70" s="350"/>
      <c r="H70" s="350"/>
      <c r="I70" s="350">
        <v>1.5</v>
      </c>
      <c r="J70" s="350">
        <v>481.5</v>
      </c>
      <c r="K70" s="350"/>
      <c r="L70" s="350"/>
      <c r="M70" s="350"/>
      <c r="N70" s="350"/>
      <c r="O70" s="350">
        <v>0.75</v>
      </c>
      <c r="P70" s="350">
        <v>240.75</v>
      </c>
    </row>
    <row r="71" spans="2:16" x14ac:dyDescent="0.25">
      <c r="B71" s="346" t="s">
        <v>439</v>
      </c>
      <c r="C71" s="346" t="s">
        <v>320</v>
      </c>
      <c r="D71" s="347">
        <v>1046.8</v>
      </c>
      <c r="E71" s="347">
        <v>0.16</v>
      </c>
      <c r="F71" s="347">
        <v>167.49</v>
      </c>
      <c r="G71" s="347">
        <v>0.32</v>
      </c>
      <c r="H71" s="347">
        <v>334.98</v>
      </c>
      <c r="I71" s="347">
        <v>0.48</v>
      </c>
      <c r="J71" s="347">
        <v>502.46</v>
      </c>
      <c r="K71" s="347">
        <v>0.6</v>
      </c>
      <c r="L71" s="347">
        <v>628.08000000000004</v>
      </c>
      <c r="M71" s="347">
        <v>0.8</v>
      </c>
      <c r="N71" s="347">
        <v>837.44</v>
      </c>
      <c r="O71" s="347">
        <v>1</v>
      </c>
      <c r="P71" s="347">
        <v>1046.8</v>
      </c>
    </row>
    <row r="72" spans="2:16" x14ac:dyDescent="0.25">
      <c r="B72" s="349" t="s">
        <v>322</v>
      </c>
      <c r="C72" s="349" t="s">
        <v>320</v>
      </c>
      <c r="D72" s="350">
        <v>1842.37</v>
      </c>
      <c r="E72" s="350">
        <v>0.08</v>
      </c>
      <c r="F72" s="350">
        <v>147.38999999999999</v>
      </c>
      <c r="G72" s="350">
        <v>0.16</v>
      </c>
      <c r="H72" s="350">
        <v>294.77999999999997</v>
      </c>
      <c r="I72" s="350">
        <v>0.25</v>
      </c>
      <c r="J72" s="350">
        <v>460.59</v>
      </c>
      <c r="K72" s="350">
        <v>0.35</v>
      </c>
      <c r="L72" s="350">
        <v>644.83000000000004</v>
      </c>
      <c r="M72" s="350">
        <v>0.4</v>
      </c>
      <c r="N72" s="350">
        <v>736.95</v>
      </c>
      <c r="O72" s="350">
        <v>0.5</v>
      </c>
      <c r="P72" s="350">
        <v>921.18</v>
      </c>
    </row>
    <row r="73" spans="2:16" x14ac:dyDescent="0.25">
      <c r="B73" s="346" t="s">
        <v>575</v>
      </c>
      <c r="C73" s="346" t="s">
        <v>320</v>
      </c>
      <c r="D73" s="347">
        <v>1801.28</v>
      </c>
      <c r="E73" s="347">
        <v>0.01</v>
      </c>
      <c r="F73" s="347">
        <v>18.010000000000002</v>
      </c>
      <c r="G73" s="347">
        <v>4</v>
      </c>
      <c r="H73" s="347">
        <v>72.05</v>
      </c>
      <c r="I73" s="347">
        <v>0.06</v>
      </c>
      <c r="J73" s="347">
        <v>108.08</v>
      </c>
      <c r="K73" s="347">
        <v>0.12</v>
      </c>
      <c r="L73" s="347">
        <v>216.15</v>
      </c>
      <c r="M73" s="347">
        <v>0.15</v>
      </c>
      <c r="N73" s="347">
        <v>270.19</v>
      </c>
      <c r="O73" s="347">
        <v>0.18</v>
      </c>
      <c r="P73" s="347">
        <v>324.23</v>
      </c>
    </row>
    <row r="74" spans="2:16" x14ac:dyDescent="0.25">
      <c r="B74" s="349" t="s">
        <v>576</v>
      </c>
      <c r="C74" s="349" t="s">
        <v>320</v>
      </c>
      <c r="D74" s="350">
        <v>1256.1600000000001</v>
      </c>
      <c r="E74" s="350">
        <v>0.05</v>
      </c>
      <c r="F74" s="350">
        <v>62.81</v>
      </c>
      <c r="G74" s="350">
        <v>0.2</v>
      </c>
      <c r="H74" s="350">
        <v>251.23</v>
      </c>
      <c r="I74" s="350">
        <v>0.25</v>
      </c>
      <c r="J74" s="350">
        <v>314.04000000000002</v>
      </c>
      <c r="K74" s="350">
        <v>0.3</v>
      </c>
      <c r="L74" s="350">
        <v>376.85</v>
      </c>
      <c r="M74" s="350">
        <v>0.32</v>
      </c>
      <c r="N74" s="350">
        <v>401.97</v>
      </c>
      <c r="O74" s="350">
        <v>0.45</v>
      </c>
      <c r="P74" s="350">
        <v>565.27</v>
      </c>
    </row>
    <row r="75" spans="2:16" x14ac:dyDescent="0.25">
      <c r="B75" s="346" t="s">
        <v>577</v>
      </c>
      <c r="C75" s="346" t="s">
        <v>320</v>
      </c>
      <c r="D75" s="347">
        <v>2120</v>
      </c>
      <c r="E75" s="347"/>
      <c r="F75" s="347"/>
      <c r="G75" s="347"/>
      <c r="H75" s="347"/>
      <c r="I75" s="347">
        <v>0.06</v>
      </c>
      <c r="J75" s="347">
        <v>127.2</v>
      </c>
      <c r="K75" s="347">
        <v>0.1</v>
      </c>
      <c r="L75" s="347">
        <v>212</v>
      </c>
      <c r="M75" s="347">
        <v>0.12</v>
      </c>
      <c r="N75" s="347">
        <v>254.4</v>
      </c>
      <c r="O75" s="347">
        <v>0.3</v>
      </c>
      <c r="P75" s="347">
        <v>636</v>
      </c>
    </row>
    <row r="76" spans="2:16" x14ac:dyDescent="0.25">
      <c r="B76" s="344" t="s">
        <v>578</v>
      </c>
      <c r="C76" s="345"/>
      <c r="D76" s="376"/>
      <c r="E76" s="376"/>
      <c r="F76" s="376"/>
      <c r="G76" s="376"/>
      <c r="H76" s="376"/>
      <c r="I76" s="376"/>
      <c r="J76" s="376"/>
      <c r="K76" s="376"/>
      <c r="L76" s="376"/>
      <c r="M76" s="376"/>
      <c r="N76" s="376"/>
      <c r="O76" s="376"/>
      <c r="P76" s="376"/>
    </row>
    <row r="77" spans="2:16" x14ac:dyDescent="0.25">
      <c r="B77" s="346" t="s">
        <v>579</v>
      </c>
      <c r="C77" s="346" t="s">
        <v>329</v>
      </c>
      <c r="D77" s="347">
        <v>218.44</v>
      </c>
      <c r="E77" s="347"/>
      <c r="F77" s="347"/>
      <c r="G77" s="347"/>
      <c r="H77" s="347"/>
      <c r="I77" s="347">
        <v>1.5</v>
      </c>
      <c r="J77" s="347">
        <v>327.66000000000003</v>
      </c>
      <c r="K77" s="347">
        <v>2</v>
      </c>
      <c r="L77" s="347">
        <v>436.89</v>
      </c>
      <c r="M77" s="347">
        <v>3</v>
      </c>
      <c r="N77" s="347">
        <v>655.33000000000004</v>
      </c>
      <c r="O77" s="347">
        <v>2.5</v>
      </c>
      <c r="P77" s="347">
        <v>546.11</v>
      </c>
    </row>
    <row r="78" spans="2:16" x14ac:dyDescent="0.25">
      <c r="B78" s="349" t="s">
        <v>580</v>
      </c>
      <c r="C78" s="349" t="s">
        <v>329</v>
      </c>
      <c r="D78" s="350">
        <v>59</v>
      </c>
      <c r="E78" s="350"/>
      <c r="F78" s="350"/>
      <c r="G78" s="350"/>
      <c r="H78" s="350"/>
      <c r="I78" s="350"/>
      <c r="J78" s="350"/>
      <c r="K78" s="350">
        <v>1</v>
      </c>
      <c r="L78" s="350">
        <v>59</v>
      </c>
      <c r="M78" s="350">
        <v>1.5</v>
      </c>
      <c r="N78" s="350">
        <v>88.5</v>
      </c>
      <c r="O78" s="350">
        <v>1.5</v>
      </c>
      <c r="P78" s="350">
        <v>88.5</v>
      </c>
    </row>
    <row r="79" spans="2:16" x14ac:dyDescent="0.25">
      <c r="B79" s="346" t="s">
        <v>581</v>
      </c>
      <c r="C79" s="346" t="s">
        <v>326</v>
      </c>
      <c r="D79" s="347"/>
      <c r="E79" s="347">
        <v>0.09</v>
      </c>
      <c r="F79" s="347">
        <v>5.36</v>
      </c>
      <c r="G79" s="347">
        <v>0.2</v>
      </c>
      <c r="H79" s="347">
        <v>11.9</v>
      </c>
      <c r="I79" s="347">
        <v>4.5</v>
      </c>
      <c r="J79" s="347">
        <v>267.75</v>
      </c>
      <c r="K79" s="347">
        <v>14.4</v>
      </c>
      <c r="L79" s="347">
        <v>1010.72</v>
      </c>
      <c r="M79" s="347">
        <v>20.5</v>
      </c>
      <c r="N79" s="347">
        <v>1436.2</v>
      </c>
      <c r="O79" s="347">
        <v>20.5</v>
      </c>
      <c r="P79" s="347">
        <v>1436.2</v>
      </c>
    </row>
    <row r="80" spans="2:16" x14ac:dyDescent="0.25">
      <c r="B80" s="349" t="s">
        <v>582</v>
      </c>
      <c r="C80" s="349" t="s">
        <v>329</v>
      </c>
      <c r="D80" s="350">
        <v>21.85</v>
      </c>
      <c r="E80" s="350">
        <v>0.03</v>
      </c>
      <c r="F80" s="350">
        <v>0.66</v>
      </c>
      <c r="G80" s="350">
        <v>0.1</v>
      </c>
      <c r="H80" s="350">
        <v>2.19</v>
      </c>
      <c r="I80" s="350">
        <v>0.2</v>
      </c>
      <c r="J80" s="350">
        <v>4.37</v>
      </c>
      <c r="K80" s="350">
        <v>0.4</v>
      </c>
      <c r="L80" s="350">
        <v>8.74</v>
      </c>
      <c r="M80" s="350">
        <v>0.5</v>
      </c>
      <c r="N80" s="350">
        <v>10.93</v>
      </c>
      <c r="O80" s="350">
        <v>0.75</v>
      </c>
      <c r="P80" s="350">
        <v>16.39</v>
      </c>
    </row>
    <row r="81" spans="2:16" x14ac:dyDescent="0.25">
      <c r="B81" s="346" t="s">
        <v>583</v>
      </c>
      <c r="C81" s="346" t="s">
        <v>326</v>
      </c>
      <c r="D81" s="347">
        <v>13</v>
      </c>
      <c r="E81" s="347">
        <v>2</v>
      </c>
      <c r="F81" s="347">
        <v>26</v>
      </c>
      <c r="G81" s="347">
        <v>1.5</v>
      </c>
      <c r="H81" s="347">
        <v>19.5</v>
      </c>
      <c r="I81" s="347">
        <v>1</v>
      </c>
      <c r="J81" s="347">
        <v>13</v>
      </c>
      <c r="K81" s="347">
        <v>0.5</v>
      </c>
      <c r="L81" s="347">
        <v>6.5</v>
      </c>
      <c r="M81" s="347">
        <v>0.5</v>
      </c>
      <c r="N81" s="347">
        <v>6.5</v>
      </c>
      <c r="O81" s="347">
        <v>0.5</v>
      </c>
      <c r="P81" s="347">
        <v>6.5</v>
      </c>
    </row>
    <row r="82" spans="2:16" x14ac:dyDescent="0.25">
      <c r="B82" s="344" t="s">
        <v>584</v>
      </c>
      <c r="C82" s="345"/>
      <c r="D82" s="376"/>
      <c r="E82" s="376"/>
      <c r="F82" s="376"/>
      <c r="G82" s="376"/>
      <c r="H82" s="376"/>
      <c r="I82" s="376"/>
      <c r="J82" s="376"/>
      <c r="K82" s="376"/>
      <c r="L82" s="376"/>
      <c r="M82" s="376"/>
      <c r="N82" s="376"/>
      <c r="O82" s="376"/>
      <c r="P82" s="376"/>
    </row>
    <row r="83" spans="2:16" x14ac:dyDescent="0.25">
      <c r="B83" s="346" t="s">
        <v>585</v>
      </c>
      <c r="C83" s="346" t="s">
        <v>329</v>
      </c>
      <c r="D83" s="347">
        <v>29</v>
      </c>
      <c r="E83" s="347">
        <v>2</v>
      </c>
      <c r="F83" s="347">
        <v>58</v>
      </c>
      <c r="G83" s="347">
        <v>3</v>
      </c>
      <c r="H83" s="347">
        <v>87</v>
      </c>
      <c r="I83" s="347">
        <v>1.5</v>
      </c>
      <c r="J83" s="347">
        <v>43.5</v>
      </c>
      <c r="K83" s="347">
        <v>3</v>
      </c>
      <c r="L83" s="347">
        <v>87</v>
      </c>
      <c r="M83" s="347">
        <v>3</v>
      </c>
      <c r="N83" s="347">
        <v>87</v>
      </c>
      <c r="O83" s="347">
        <v>3</v>
      </c>
      <c r="P83" s="347">
        <v>87</v>
      </c>
    </row>
    <row r="84" spans="2:16" x14ac:dyDescent="0.25">
      <c r="B84" s="344" t="s">
        <v>586</v>
      </c>
      <c r="C84" s="345"/>
      <c r="D84" s="376"/>
      <c r="E84" s="376"/>
      <c r="F84" s="376"/>
      <c r="G84" s="376"/>
      <c r="H84" s="376"/>
      <c r="I84" s="376"/>
      <c r="J84" s="376"/>
      <c r="K84" s="376"/>
      <c r="L84" s="376"/>
      <c r="M84" s="376"/>
      <c r="N84" s="376"/>
      <c r="O84" s="376"/>
      <c r="P84" s="376"/>
    </row>
    <row r="85" spans="2:16" x14ac:dyDescent="0.25">
      <c r="B85" s="346" t="s">
        <v>587</v>
      </c>
      <c r="C85" s="346" t="s">
        <v>452</v>
      </c>
      <c r="D85" s="347">
        <v>5.5</v>
      </c>
      <c r="E85" s="347">
        <v>320</v>
      </c>
      <c r="F85" s="347">
        <v>1760</v>
      </c>
      <c r="G85" s="347"/>
      <c r="H85" s="347"/>
      <c r="I85" s="347"/>
      <c r="J85" s="347"/>
      <c r="K85" s="347"/>
      <c r="L85" s="347"/>
      <c r="M85" s="347"/>
      <c r="N85" s="347"/>
      <c r="O85" s="347"/>
      <c r="P85" s="347"/>
    </row>
    <row r="86" spans="2:16" x14ac:dyDescent="0.25">
      <c r="B86" s="344" t="s">
        <v>498</v>
      </c>
      <c r="C86" s="344" t="s">
        <v>493</v>
      </c>
      <c r="D86" s="377"/>
      <c r="E86" s="377"/>
      <c r="F86" s="355">
        <f>SUM(F70:F85)</f>
        <v>3208.7200000000003</v>
      </c>
      <c r="G86" s="377"/>
      <c r="H86" s="355">
        <f>SUM(H70:H85)</f>
        <v>1073.6300000000001</v>
      </c>
      <c r="I86" s="377"/>
      <c r="J86" s="355">
        <f>SUM(J70:J85)</f>
        <v>2650.1499999999996</v>
      </c>
      <c r="K86" s="377"/>
      <c r="L86" s="355">
        <f>SUM(L70:L85)</f>
        <v>3686.76</v>
      </c>
      <c r="M86" s="377"/>
      <c r="N86" s="355">
        <f>SUM(N70:N85)</f>
        <v>4785.4100000000008</v>
      </c>
      <c r="O86" s="377"/>
      <c r="P86" s="355">
        <f>SUM(P70:P85)</f>
        <v>5914.93</v>
      </c>
    </row>
    <row r="87" spans="2:16" x14ac:dyDescent="0.25">
      <c r="B87" s="682" t="s">
        <v>588</v>
      </c>
      <c r="C87" s="683"/>
      <c r="D87" s="683"/>
      <c r="E87" s="683"/>
      <c r="F87" s="683"/>
      <c r="G87" s="683"/>
      <c r="H87" s="683"/>
      <c r="I87" s="683"/>
      <c r="J87" s="683"/>
      <c r="K87" s="683"/>
      <c r="L87" s="683"/>
      <c r="M87" s="683"/>
      <c r="N87" s="683"/>
      <c r="O87" s="683"/>
      <c r="P87" s="683"/>
    </row>
    <row r="88" spans="2:16" x14ac:dyDescent="0.25">
      <c r="B88" s="349" t="s">
        <v>462</v>
      </c>
      <c r="C88" s="349" t="s">
        <v>58</v>
      </c>
      <c r="D88" s="350">
        <v>838.32</v>
      </c>
      <c r="E88" s="350">
        <v>1</v>
      </c>
      <c r="F88" s="350">
        <v>838.32</v>
      </c>
      <c r="G88" s="350">
        <v>1</v>
      </c>
      <c r="H88" s="350">
        <v>838.32</v>
      </c>
      <c r="I88" s="350">
        <v>1</v>
      </c>
      <c r="J88" s="350">
        <v>838.32</v>
      </c>
      <c r="K88" s="350">
        <v>1</v>
      </c>
      <c r="L88" s="350">
        <v>838.32</v>
      </c>
      <c r="M88" s="350">
        <v>1</v>
      </c>
      <c r="N88" s="350">
        <v>838.32</v>
      </c>
      <c r="O88" s="350">
        <v>1</v>
      </c>
      <c r="P88" s="350">
        <v>838.32</v>
      </c>
    </row>
    <row r="89" spans="2:16" x14ac:dyDescent="0.25">
      <c r="B89" s="346" t="s">
        <v>463</v>
      </c>
      <c r="C89" s="346" t="s">
        <v>58</v>
      </c>
      <c r="D89" s="347">
        <v>419.16</v>
      </c>
      <c r="E89" s="347">
        <v>1</v>
      </c>
      <c r="F89" s="347">
        <v>419.16</v>
      </c>
      <c r="G89" s="347">
        <v>1</v>
      </c>
      <c r="H89" s="347">
        <v>419.16</v>
      </c>
      <c r="I89" s="347">
        <v>1</v>
      </c>
      <c r="J89" s="347">
        <v>419.16</v>
      </c>
      <c r="K89" s="347">
        <v>1</v>
      </c>
      <c r="L89" s="347">
        <v>419.16</v>
      </c>
      <c r="M89" s="347">
        <v>1</v>
      </c>
      <c r="N89" s="347">
        <v>419.16</v>
      </c>
      <c r="O89" s="347">
        <v>1</v>
      </c>
      <c r="P89" s="347">
        <v>419.16</v>
      </c>
    </row>
    <row r="90" spans="2:16" x14ac:dyDescent="0.25">
      <c r="B90" s="349" t="s">
        <v>464</v>
      </c>
      <c r="C90" s="349" t="s">
        <v>58</v>
      </c>
      <c r="D90" s="350">
        <v>838.32</v>
      </c>
      <c r="E90" s="350">
        <v>1</v>
      </c>
      <c r="F90" s="350">
        <v>838.32</v>
      </c>
      <c r="G90" s="350">
        <v>1</v>
      </c>
      <c r="H90" s="350">
        <v>838.32</v>
      </c>
      <c r="I90" s="350">
        <v>1</v>
      </c>
      <c r="J90" s="350">
        <v>838.32</v>
      </c>
      <c r="K90" s="350">
        <v>1</v>
      </c>
      <c r="L90" s="350">
        <v>838.32</v>
      </c>
      <c r="M90" s="350">
        <v>1</v>
      </c>
      <c r="N90" s="350">
        <v>838.32</v>
      </c>
      <c r="O90" s="350">
        <v>1</v>
      </c>
      <c r="P90" s="350">
        <v>838.32</v>
      </c>
    </row>
    <row r="91" spans="2:16" x14ac:dyDescent="0.25">
      <c r="B91" s="346" t="s">
        <v>342</v>
      </c>
      <c r="C91" s="346" t="s">
        <v>58</v>
      </c>
      <c r="D91" s="347">
        <v>387.3</v>
      </c>
      <c r="E91" s="347">
        <v>1</v>
      </c>
      <c r="F91" s="347">
        <v>387.3</v>
      </c>
      <c r="G91" s="347">
        <v>1</v>
      </c>
      <c r="H91" s="347">
        <v>387.3</v>
      </c>
      <c r="I91" s="347">
        <v>1</v>
      </c>
      <c r="J91" s="347">
        <v>387.3</v>
      </c>
      <c r="K91" s="347">
        <v>1</v>
      </c>
      <c r="L91" s="347">
        <v>387.3</v>
      </c>
      <c r="M91" s="347">
        <v>1</v>
      </c>
      <c r="N91" s="347">
        <v>387.3</v>
      </c>
      <c r="O91" s="347">
        <v>1</v>
      </c>
      <c r="P91" s="347">
        <v>387.3</v>
      </c>
    </row>
    <row r="92" spans="2:16" x14ac:dyDescent="0.25">
      <c r="B92" s="349" t="s">
        <v>465</v>
      </c>
      <c r="C92" s="349" t="s">
        <v>58</v>
      </c>
      <c r="D92" s="350">
        <v>846.3</v>
      </c>
      <c r="E92" s="350">
        <v>1</v>
      </c>
      <c r="F92" s="350">
        <v>846.3</v>
      </c>
      <c r="G92" s="350">
        <v>1</v>
      </c>
      <c r="H92" s="350">
        <v>846.3</v>
      </c>
      <c r="I92" s="350">
        <v>1</v>
      </c>
      <c r="J92" s="350">
        <v>846.3</v>
      </c>
      <c r="K92" s="350">
        <v>1</v>
      </c>
      <c r="L92" s="350">
        <v>846.3</v>
      </c>
      <c r="M92" s="350">
        <v>1</v>
      </c>
      <c r="N92" s="350">
        <v>846.3</v>
      </c>
      <c r="O92" s="350">
        <v>1</v>
      </c>
      <c r="P92" s="350">
        <v>846.3</v>
      </c>
    </row>
    <row r="93" spans="2:16" x14ac:dyDescent="0.25">
      <c r="B93" s="346" t="s">
        <v>589</v>
      </c>
      <c r="C93" s="346" t="s">
        <v>58</v>
      </c>
      <c r="D93" s="347">
        <v>33.159999999999997</v>
      </c>
      <c r="E93" s="347">
        <v>1</v>
      </c>
      <c r="F93" s="347">
        <v>33.159999999999997</v>
      </c>
      <c r="G93" s="347">
        <v>1</v>
      </c>
      <c r="H93" s="347">
        <v>33.159999999999997</v>
      </c>
      <c r="I93" s="347">
        <v>1</v>
      </c>
      <c r="J93" s="347">
        <v>33.159999999999997</v>
      </c>
      <c r="K93" s="347">
        <v>1</v>
      </c>
      <c r="L93" s="347">
        <v>33.159999999999997</v>
      </c>
      <c r="M93" s="347">
        <v>1</v>
      </c>
      <c r="N93" s="347">
        <v>33.159999999999997</v>
      </c>
      <c r="O93" s="347">
        <v>1</v>
      </c>
      <c r="P93" s="347">
        <v>33.159999999999997</v>
      </c>
    </row>
    <row r="94" spans="2:16" x14ac:dyDescent="0.25">
      <c r="B94" s="349" t="s">
        <v>590</v>
      </c>
      <c r="C94" s="349" t="s">
        <v>591</v>
      </c>
      <c r="D94" s="378">
        <v>3.15E-2</v>
      </c>
      <c r="E94" s="350"/>
      <c r="F94" s="350"/>
      <c r="G94" s="350"/>
      <c r="H94" s="350"/>
      <c r="I94" s="350">
        <v>1</v>
      </c>
      <c r="J94" s="350">
        <v>146.16</v>
      </c>
      <c r="K94" s="350">
        <v>1</v>
      </c>
      <c r="L94" s="350">
        <v>365.4</v>
      </c>
      <c r="M94" s="350">
        <v>1</v>
      </c>
      <c r="N94" s="350">
        <v>548.1</v>
      </c>
      <c r="O94" s="350">
        <v>1</v>
      </c>
      <c r="P94" s="350">
        <v>913.5</v>
      </c>
    </row>
    <row r="95" spans="2:16" x14ac:dyDescent="0.25">
      <c r="B95" s="346" t="s">
        <v>592</v>
      </c>
      <c r="C95" s="346" t="s">
        <v>591</v>
      </c>
      <c r="D95" s="379">
        <v>1.7999999999999999E-2</v>
      </c>
      <c r="E95" s="347"/>
      <c r="F95" s="347"/>
      <c r="G95" s="347"/>
      <c r="H95" s="347"/>
      <c r="I95" s="347">
        <v>1</v>
      </c>
      <c r="J95" s="347">
        <v>83.52</v>
      </c>
      <c r="K95" s="347">
        <v>1</v>
      </c>
      <c r="L95" s="347">
        <v>208.8</v>
      </c>
      <c r="M95" s="347">
        <v>1</v>
      </c>
      <c r="N95" s="347">
        <v>313.2</v>
      </c>
      <c r="O95" s="347">
        <v>1</v>
      </c>
      <c r="P95" s="347">
        <v>522</v>
      </c>
    </row>
    <row r="96" spans="2:16" x14ac:dyDescent="0.25">
      <c r="B96" s="344" t="s">
        <v>500</v>
      </c>
      <c r="C96" s="344" t="s">
        <v>493</v>
      </c>
      <c r="D96" s="354"/>
      <c r="E96" s="354"/>
      <c r="F96" s="355">
        <f>SUM(F88:F95)</f>
        <v>3362.5600000000004</v>
      </c>
      <c r="G96" s="354"/>
      <c r="H96" s="355">
        <f>SUM(H88:H95)</f>
        <v>3362.5600000000004</v>
      </c>
      <c r="I96" s="354"/>
      <c r="J96" s="355">
        <f>SUM(J88:J95)</f>
        <v>3592.2400000000002</v>
      </c>
      <c r="K96" s="354"/>
      <c r="L96" s="355">
        <f>SUM(L88:L95)</f>
        <v>3936.7600000000007</v>
      </c>
      <c r="M96" s="354"/>
      <c r="N96" s="355">
        <f>SUM(N88:N95)</f>
        <v>4223.8600000000006</v>
      </c>
      <c r="O96" s="354"/>
      <c r="P96" s="355">
        <f>SUM(P88:P95)</f>
        <v>4798.0600000000004</v>
      </c>
    </row>
    <row r="97" spans="1:18" x14ac:dyDescent="0.25">
      <c r="B97" s="722" t="s">
        <v>593</v>
      </c>
      <c r="C97" s="723"/>
      <c r="D97" s="723"/>
      <c r="E97" s="735">
        <f>F39+F66+F86+F96</f>
        <v>11720.29</v>
      </c>
      <c r="F97" s="735"/>
      <c r="G97" s="735">
        <f>H39+H66+H86+H96</f>
        <v>8473.9500000000007</v>
      </c>
      <c r="H97" s="735"/>
      <c r="I97" s="735">
        <f>J39+J66+J86+J96</f>
        <v>11851.47</v>
      </c>
      <c r="J97" s="735"/>
      <c r="K97" s="735">
        <f>L39+L66+L86+L96</f>
        <v>13398.92</v>
      </c>
      <c r="L97" s="735"/>
      <c r="M97" s="735">
        <f>N39+N66+N86+N96</f>
        <v>15046.190000000002</v>
      </c>
      <c r="N97" s="735"/>
      <c r="O97" s="735">
        <f>P39+P66+P86+P96</f>
        <v>17154.32</v>
      </c>
      <c r="P97" s="735"/>
      <c r="R97" s="359"/>
    </row>
    <row r="98" spans="1:18" x14ac:dyDescent="0.25">
      <c r="B98" s="732" t="s">
        <v>594</v>
      </c>
      <c r="C98" s="733"/>
      <c r="D98" s="733"/>
      <c r="E98" s="736">
        <v>787</v>
      </c>
      <c r="F98" s="737"/>
      <c r="G98" s="737"/>
      <c r="H98" s="737"/>
      <c r="I98" s="737"/>
      <c r="J98" s="737"/>
      <c r="K98" s="737"/>
      <c r="L98" s="737"/>
      <c r="M98" s="737"/>
      <c r="N98" s="737"/>
      <c r="O98" s="737"/>
      <c r="P98" s="738"/>
    </row>
    <row r="99" spans="1:18" x14ac:dyDescent="0.25">
      <c r="B99" s="722" t="s">
        <v>595</v>
      </c>
      <c r="C99" s="723"/>
      <c r="D99" s="723"/>
      <c r="E99" s="734"/>
      <c r="F99" s="734"/>
      <c r="G99" s="734"/>
      <c r="H99" s="734"/>
      <c r="I99" s="734">
        <f>J9*E101</f>
        <v>4640</v>
      </c>
      <c r="J99" s="734"/>
      <c r="K99" s="734">
        <f>J10*E101</f>
        <v>11600</v>
      </c>
      <c r="L99" s="734"/>
      <c r="M99" s="734">
        <f>J11*E101</f>
        <v>17400</v>
      </c>
      <c r="N99" s="734"/>
      <c r="O99" s="734">
        <f>J12*E101</f>
        <v>29000</v>
      </c>
      <c r="P99" s="734"/>
    </row>
    <row r="100" spans="1:18" x14ac:dyDescent="0.25">
      <c r="B100" s="732" t="s">
        <v>596</v>
      </c>
      <c r="C100" s="733"/>
      <c r="D100" s="733"/>
      <c r="E100" s="730">
        <f>E99-E97</f>
        <v>-11720.29</v>
      </c>
      <c r="F100" s="731"/>
      <c r="G100" s="730">
        <f>E100+(G99-G97)</f>
        <v>-20194.240000000002</v>
      </c>
      <c r="H100" s="731"/>
      <c r="I100" s="730">
        <f>G100+(I99-I97)</f>
        <v>-27405.71</v>
      </c>
      <c r="J100" s="731"/>
      <c r="K100" s="730">
        <f>I100+(K99-K97)</f>
        <v>-29204.629999999997</v>
      </c>
      <c r="L100" s="731"/>
      <c r="M100" s="730">
        <f>K100+(M99-M97)</f>
        <v>-26850.82</v>
      </c>
      <c r="N100" s="731"/>
      <c r="O100" s="730">
        <f>M100+(15*(O99-O97))</f>
        <v>150834.38</v>
      </c>
      <c r="P100" s="731"/>
    </row>
    <row r="101" spans="1:18" x14ac:dyDescent="0.25">
      <c r="B101" s="722" t="s">
        <v>597</v>
      </c>
      <c r="C101" s="723"/>
      <c r="D101" s="723"/>
      <c r="E101" s="724">
        <v>1160</v>
      </c>
      <c r="F101" s="725"/>
      <c r="G101" s="725"/>
      <c r="H101" s="725"/>
      <c r="I101" s="725"/>
      <c r="J101" s="725"/>
      <c r="K101" s="725"/>
      <c r="L101" s="725"/>
      <c r="M101" s="725"/>
      <c r="N101" s="725"/>
      <c r="O101" s="725"/>
      <c r="P101" s="726"/>
    </row>
    <row r="102" spans="1:18" x14ac:dyDescent="0.25">
      <c r="B102" s="344" t="s">
        <v>501</v>
      </c>
      <c r="C102" s="344" t="s">
        <v>359</v>
      </c>
      <c r="D102" s="360" t="s">
        <v>502</v>
      </c>
      <c r="E102" s="727" t="s">
        <v>598</v>
      </c>
      <c r="F102" s="728"/>
      <c r="G102" s="728"/>
      <c r="H102" s="728"/>
      <c r="I102" s="728"/>
      <c r="J102" s="728"/>
      <c r="K102" s="728"/>
      <c r="L102" s="728"/>
      <c r="M102" s="728"/>
      <c r="N102" s="728"/>
      <c r="O102" s="728"/>
      <c r="P102" s="729"/>
    </row>
    <row r="103" spans="1:18" ht="5.0999999999999996" customHeight="1" x14ac:dyDescent="0.25">
      <c r="B103" s="380"/>
      <c r="C103" s="380"/>
      <c r="D103" s="381"/>
      <c r="E103" s="382"/>
      <c r="F103" s="382"/>
      <c r="G103" s="382"/>
      <c r="H103" s="382"/>
      <c r="I103" s="382"/>
      <c r="J103" s="382"/>
      <c r="K103" s="382"/>
      <c r="L103" s="382"/>
      <c r="M103" s="382"/>
      <c r="N103" s="382"/>
      <c r="O103" s="382"/>
      <c r="P103" s="382"/>
    </row>
    <row r="104" spans="1:18" ht="16.5" customHeight="1" x14ac:dyDescent="0.25">
      <c r="B104" s="338" t="s">
        <v>599</v>
      </c>
      <c r="J104" s="579"/>
      <c r="L104" s="579"/>
      <c r="M104" s="579"/>
      <c r="N104" s="579"/>
      <c r="P104" s="579"/>
    </row>
    <row r="105" spans="1:18" ht="16.5" customHeight="1" x14ac:dyDescent="0.25">
      <c r="B105" s="338" t="s">
        <v>600</v>
      </c>
      <c r="J105" s="579"/>
      <c r="L105" s="579"/>
      <c r="N105" s="579"/>
    </row>
    <row r="106" spans="1:18" ht="16.5" customHeight="1" x14ac:dyDescent="0.25">
      <c r="B106" s="338" t="s">
        <v>601</v>
      </c>
      <c r="P106" s="579"/>
    </row>
    <row r="107" spans="1:18" ht="16.5" customHeight="1" x14ac:dyDescent="0.25">
      <c r="B107" s="338" t="s">
        <v>602</v>
      </c>
    </row>
    <row r="108" spans="1:18" s="287" customFormat="1" ht="16.5" customHeight="1" x14ac:dyDescent="0.25">
      <c r="A108" s="338"/>
      <c r="B108" s="699" t="s">
        <v>503</v>
      </c>
      <c r="C108" s="699"/>
      <c r="D108" s="699"/>
      <c r="E108" s="699"/>
      <c r="F108" s="699"/>
      <c r="G108" s="699"/>
      <c r="H108" s="699"/>
      <c r="I108" s="699"/>
      <c r="J108" s="699"/>
      <c r="K108" s="699"/>
      <c r="L108" s="699"/>
      <c r="M108" s="699"/>
      <c r="N108" s="699"/>
      <c r="O108" s="699"/>
      <c r="P108" s="699"/>
    </row>
    <row r="109" spans="1:18" ht="16.5" customHeight="1" x14ac:dyDescent="0.25">
      <c r="B109" s="338" t="s">
        <v>504</v>
      </c>
    </row>
    <row r="110" spans="1:18" ht="16.5" customHeight="1" x14ac:dyDescent="0.25">
      <c r="B110" s="338" t="s">
        <v>505</v>
      </c>
    </row>
    <row r="111" spans="1:18" ht="16.5" customHeight="1" x14ac:dyDescent="0.25">
      <c r="B111" s="338" t="s">
        <v>368</v>
      </c>
    </row>
    <row r="112" spans="1:18" x14ac:dyDescent="0.25">
      <c r="B112" s="338"/>
      <c r="C112" s="338"/>
      <c r="D112" s="338"/>
      <c r="E112" s="338"/>
      <c r="F112" s="338"/>
      <c r="G112" s="338"/>
      <c r="H112" s="338"/>
      <c r="I112" s="338"/>
      <c r="J112" s="338"/>
      <c r="K112" s="338"/>
      <c r="L112" s="338"/>
      <c r="M112" s="338"/>
      <c r="N112" s="338"/>
      <c r="O112" s="338"/>
      <c r="P112" s="338"/>
    </row>
    <row r="113" spans="2:16" s="262" customFormat="1" ht="12.75" x14ac:dyDescent="0.25">
      <c r="B113" s="334" t="s">
        <v>369</v>
      </c>
      <c r="C113" s="334"/>
      <c r="D113" s="334"/>
      <c r="E113" s="334"/>
      <c r="F113" s="334"/>
      <c r="G113" s="334"/>
      <c r="H113" s="334"/>
      <c r="I113" s="334"/>
      <c r="J113" s="334"/>
      <c r="K113" s="334"/>
      <c r="L113" s="334"/>
      <c r="M113" s="334"/>
      <c r="N113" s="334"/>
      <c r="O113" s="334"/>
      <c r="P113" s="336">
        <v>297</v>
      </c>
    </row>
    <row r="116" spans="2:16" s="262" customFormat="1" ht="12.75" x14ac:dyDescent="0.25">
      <c r="B116" s="432"/>
      <c r="C116" s="432"/>
    </row>
    <row r="117" spans="2:16" s="262" customFormat="1" ht="14.25" x14ac:dyDescent="0.25">
      <c r="B117" s="429" t="s">
        <v>260</v>
      </c>
      <c r="C117" s="430" t="s">
        <v>781</v>
      </c>
    </row>
    <row r="118" spans="2:16" s="262" customFormat="1" ht="14.25" x14ac:dyDescent="0.25">
      <c r="B118" s="433" t="s">
        <v>777</v>
      </c>
      <c r="C118" s="434">
        <f>(E97-F94-F95)+(G97-H94-H95)+(I97-J94-J95)</f>
        <v>31816.03</v>
      </c>
    </row>
    <row r="119" spans="2:16" s="262" customFormat="1" ht="14.25" x14ac:dyDescent="0.25">
      <c r="B119" s="429" t="s">
        <v>782</v>
      </c>
      <c r="C119" s="431">
        <f>'Sistema de Irrigação'!I17</f>
        <v>13000</v>
      </c>
    </row>
    <row r="120" spans="2:16" s="262" customFormat="1" ht="14.25" x14ac:dyDescent="0.25">
      <c r="B120" s="433" t="s">
        <v>780</v>
      </c>
      <c r="C120" s="434">
        <f>((K97-L94-L95)+(M97-N94-N95)+((O97-P94-P95)*15))/17</f>
        <v>15458.347647058821</v>
      </c>
    </row>
    <row r="121" spans="2:16" s="262" customFormat="1" ht="14.25" x14ac:dyDescent="0.25">
      <c r="B121" s="429" t="s">
        <v>791</v>
      </c>
      <c r="C121" s="440">
        <f>(J10+J11+(15*J12))/17</f>
        <v>23.529411764705884</v>
      </c>
    </row>
    <row r="122" spans="2:16" s="262" customFormat="1" ht="14.25" x14ac:dyDescent="0.25">
      <c r="B122" s="433" t="s">
        <v>788</v>
      </c>
      <c r="C122" s="434">
        <f>E101</f>
        <v>1160</v>
      </c>
    </row>
    <row r="123" spans="2:16" s="262" customFormat="1" ht="14.25" x14ac:dyDescent="0.25">
      <c r="B123" s="429" t="s">
        <v>778</v>
      </c>
      <c r="C123" s="435">
        <v>4.0270000000000001</v>
      </c>
    </row>
    <row r="124" spans="2:16" s="262" customFormat="1" ht="14.25" x14ac:dyDescent="0.25">
      <c r="B124" s="433" t="s">
        <v>783</v>
      </c>
      <c r="C124" s="434">
        <f>F85+F51</f>
        <v>1882.38</v>
      </c>
    </row>
    <row r="125" spans="2:16" s="262" customFormat="1" ht="14.25" x14ac:dyDescent="0.25">
      <c r="B125" s="429" t="s">
        <v>784</v>
      </c>
      <c r="C125" s="435" t="s">
        <v>799</v>
      </c>
    </row>
    <row r="126" spans="2:16" s="262" customFormat="1" ht="14.25" x14ac:dyDescent="0.25">
      <c r="B126" s="433" t="s">
        <v>785</v>
      </c>
      <c r="C126" s="446">
        <v>0.33333333333333298</v>
      </c>
    </row>
    <row r="127" spans="2:16" s="443" customFormat="1" ht="14.25" x14ac:dyDescent="0.25">
      <c r="B127" s="429" t="s">
        <v>798</v>
      </c>
      <c r="C127" s="435" t="s">
        <v>801</v>
      </c>
      <c r="D127" s="435"/>
    </row>
    <row r="128" spans="2:16" x14ac:dyDescent="0.25">
      <c r="B128" s="429" t="s">
        <v>873</v>
      </c>
      <c r="C128" s="611">
        <f>C120/C121</f>
        <v>656.9797749999999</v>
      </c>
    </row>
  </sheetData>
  <mergeCells count="45">
    <mergeCell ref="B8:P8"/>
    <mergeCell ref="B13:B15"/>
    <mergeCell ref="C13:C15"/>
    <mergeCell ref="D13:D15"/>
    <mergeCell ref="E14:F14"/>
    <mergeCell ref="G14:H14"/>
    <mergeCell ref="I14:J14"/>
    <mergeCell ref="K14:L14"/>
    <mergeCell ref="M14:N14"/>
    <mergeCell ref="O14:P14"/>
    <mergeCell ref="E13:J13"/>
    <mergeCell ref="K13:N13"/>
    <mergeCell ref="O13:P13"/>
    <mergeCell ref="B16:P16"/>
    <mergeCell ref="R38:R48"/>
    <mergeCell ref="B40:P40"/>
    <mergeCell ref="M99:N99"/>
    <mergeCell ref="O99:P99"/>
    <mergeCell ref="B68:P68"/>
    <mergeCell ref="B87:P87"/>
    <mergeCell ref="B97:D97"/>
    <mergeCell ref="E97:F97"/>
    <mergeCell ref="G97:H97"/>
    <mergeCell ref="I97:J97"/>
    <mergeCell ref="K97:L97"/>
    <mergeCell ref="M97:N97"/>
    <mergeCell ref="O97:P97"/>
    <mergeCell ref="B98:D98"/>
    <mergeCell ref="E98:P98"/>
    <mergeCell ref="B99:D99"/>
    <mergeCell ref="E99:F99"/>
    <mergeCell ref="G99:H99"/>
    <mergeCell ref="I99:J99"/>
    <mergeCell ref="K99:L99"/>
    <mergeCell ref="B101:D101"/>
    <mergeCell ref="E101:P101"/>
    <mergeCell ref="E102:P102"/>
    <mergeCell ref="B108:P108"/>
    <mergeCell ref="M100:N100"/>
    <mergeCell ref="O100:P100"/>
    <mergeCell ref="B100:D100"/>
    <mergeCell ref="E100:F100"/>
    <mergeCell ref="G100:H100"/>
    <mergeCell ref="I100:J100"/>
    <mergeCell ref="K100:L100"/>
  </mergeCells>
  <hyperlinks>
    <hyperlink ref="B108" r:id="rId1" display="http://www.informaecon-fnp.com/" xr:uid="{00000000-0004-0000-1600-000000000000}"/>
  </hyperlinks>
  <pageMargins left="0.7" right="0.7" top="0.75" bottom="0.75" header="0.3" footer="0.3"/>
  <pageSetup paperSize="9" orientation="portrait" r:id="rId2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3:N121"/>
  <sheetViews>
    <sheetView showGridLines="0" topLeftCell="A107" workbookViewId="0">
      <selection activeCell="C121" sqref="C121"/>
    </sheetView>
  </sheetViews>
  <sheetFormatPr defaultRowHeight="15" x14ac:dyDescent="0.25"/>
  <cols>
    <col min="1" max="1" width="4.5703125" style="262" customWidth="1"/>
    <col min="2" max="2" width="39.7109375" style="291" customWidth="1"/>
    <col min="3" max="3" width="50.85546875" style="291" customWidth="1"/>
    <col min="4" max="12" width="9.7109375" style="291" customWidth="1"/>
    <col min="13" max="13" width="2.28515625" style="262" customWidth="1"/>
    <col min="14" max="14" width="11.85546875" style="262" customWidth="1"/>
    <col min="15" max="16384" width="9.140625" style="262"/>
  </cols>
  <sheetData>
    <row r="3" spans="2:12" ht="26.25" customHeight="1" x14ac:dyDescent="0.25">
      <c r="B3" s="262"/>
      <c r="C3" s="262"/>
      <c r="D3" s="262"/>
      <c r="E3" s="262"/>
      <c r="F3" s="262"/>
      <c r="G3" s="262"/>
      <c r="H3" s="262"/>
      <c r="I3" s="262"/>
      <c r="J3" s="262"/>
      <c r="K3" s="263"/>
      <c r="L3" s="263" t="s">
        <v>265</v>
      </c>
    </row>
    <row r="4" spans="2:12" ht="26.25" customHeight="1" x14ac:dyDescent="0.25"/>
    <row r="5" spans="2:12" ht="26.25" customHeight="1" x14ac:dyDescent="0.25"/>
    <row r="6" spans="2:12" ht="12.2" customHeight="1" x14ac:dyDescent="0.25"/>
    <row r="7" spans="2:12" ht="12.2" customHeight="1" x14ac:dyDescent="0.25">
      <c r="L7" s="292" t="s">
        <v>370</v>
      </c>
    </row>
    <row r="8" spans="2:12" s="293" customFormat="1" ht="38.25" customHeight="1" x14ac:dyDescent="0.25">
      <c r="B8" s="759" t="s">
        <v>371</v>
      </c>
      <c r="C8" s="760"/>
      <c r="D8" s="760"/>
      <c r="E8" s="760"/>
      <c r="F8" s="760"/>
      <c r="G8" s="760"/>
      <c r="H8" s="760"/>
      <c r="I8" s="760"/>
      <c r="J8" s="760"/>
      <c r="K8" s="760"/>
      <c r="L8" s="761"/>
    </row>
    <row r="9" spans="2:12" ht="15" customHeight="1" x14ac:dyDescent="0.25">
      <c r="B9" s="294"/>
      <c r="C9" s="295"/>
      <c r="D9" s="295"/>
      <c r="E9" s="295"/>
      <c r="F9" s="295"/>
      <c r="G9" s="295"/>
      <c r="H9" s="295"/>
      <c r="I9" s="295"/>
      <c r="J9" s="296" t="s">
        <v>372</v>
      </c>
      <c r="L9" s="297"/>
    </row>
    <row r="10" spans="2:12" ht="15" customHeight="1" x14ac:dyDescent="0.25">
      <c r="B10" s="298" t="s">
        <v>373</v>
      </c>
      <c r="C10" s="295"/>
      <c r="D10" s="295"/>
      <c r="E10" s="295"/>
      <c r="F10" s="295"/>
      <c r="G10" s="295"/>
      <c r="H10" s="295"/>
      <c r="I10" s="295"/>
      <c r="J10" s="299" t="s">
        <v>787</v>
      </c>
      <c r="K10" s="439">
        <v>30</v>
      </c>
      <c r="L10" s="300"/>
    </row>
    <row r="11" spans="2:12" ht="15" customHeight="1" x14ac:dyDescent="0.25">
      <c r="B11" s="298" t="s">
        <v>374</v>
      </c>
      <c r="C11" s="295"/>
      <c r="D11" s="295"/>
      <c r="E11" s="295"/>
      <c r="F11" s="295"/>
      <c r="G11" s="295"/>
      <c r="H11" s="295"/>
      <c r="I11" s="295"/>
      <c r="J11" s="299" t="s">
        <v>680</v>
      </c>
      <c r="K11" s="439">
        <v>35</v>
      </c>
      <c r="L11" s="300"/>
    </row>
    <row r="12" spans="2:12" ht="15" customHeight="1" x14ac:dyDescent="0.25">
      <c r="B12" s="298" t="s">
        <v>375</v>
      </c>
      <c r="C12" s="295"/>
      <c r="D12" s="295"/>
      <c r="E12" s="295"/>
      <c r="F12" s="295"/>
      <c r="G12" s="295"/>
      <c r="H12" s="295"/>
      <c r="I12" s="295"/>
      <c r="J12" s="299" t="s">
        <v>509</v>
      </c>
      <c r="K12" s="439">
        <v>40</v>
      </c>
      <c r="L12" s="300"/>
    </row>
    <row r="13" spans="2:12" ht="15" customHeight="1" x14ac:dyDescent="0.25">
      <c r="B13" s="298" t="s">
        <v>376</v>
      </c>
      <c r="C13" s="295"/>
      <c r="D13" s="753">
        <v>2</v>
      </c>
      <c r="E13" s="753"/>
      <c r="F13" s="295"/>
      <c r="G13" s="295"/>
      <c r="H13" s="295"/>
      <c r="I13" s="295"/>
      <c r="J13" s="299" t="s">
        <v>786</v>
      </c>
      <c r="K13" s="439">
        <v>45</v>
      </c>
      <c r="L13" s="300"/>
    </row>
    <row r="14" spans="2:12" ht="15" customHeight="1" x14ac:dyDescent="0.25">
      <c r="B14" s="298" t="s">
        <v>377</v>
      </c>
      <c r="C14" s="295"/>
      <c r="D14" s="295"/>
      <c r="E14" s="295"/>
      <c r="F14" s="295"/>
      <c r="G14" s="295"/>
      <c r="H14" s="295"/>
      <c r="I14" s="295"/>
      <c r="J14" s="301" t="s">
        <v>378</v>
      </c>
      <c r="K14" s="295"/>
      <c r="L14" s="302"/>
    </row>
    <row r="15" spans="2:12" ht="28.5" customHeight="1" x14ac:dyDescent="0.25">
      <c r="B15" s="742" t="s">
        <v>74</v>
      </c>
      <c r="C15" s="742" t="s">
        <v>268</v>
      </c>
      <c r="D15" s="742" t="s">
        <v>269</v>
      </c>
      <c r="E15" s="762" t="s">
        <v>379</v>
      </c>
      <c r="F15" s="762"/>
      <c r="G15" s="742" t="s">
        <v>380</v>
      </c>
      <c r="H15" s="685"/>
      <c r="I15" s="685"/>
      <c r="J15" s="685"/>
      <c r="K15" s="762" t="s">
        <v>381</v>
      </c>
      <c r="L15" s="762"/>
    </row>
    <row r="16" spans="2:12" ht="15.75" x14ac:dyDescent="0.25">
      <c r="B16" s="742"/>
      <c r="C16" s="742"/>
      <c r="D16" s="742"/>
      <c r="E16" s="763" t="s">
        <v>27</v>
      </c>
      <c r="F16" s="763"/>
      <c r="G16" s="742" t="s">
        <v>28</v>
      </c>
      <c r="H16" s="685"/>
      <c r="I16" s="742" t="s">
        <v>29</v>
      </c>
      <c r="J16" s="742"/>
      <c r="K16" s="754" t="s">
        <v>382</v>
      </c>
      <c r="L16" s="755"/>
    </row>
    <row r="17" spans="2:12" ht="15.75" x14ac:dyDescent="0.25">
      <c r="B17" s="742"/>
      <c r="C17" s="742"/>
      <c r="D17" s="742"/>
      <c r="E17" s="303" t="s">
        <v>383</v>
      </c>
      <c r="F17" s="303" t="s">
        <v>384</v>
      </c>
      <c r="G17" s="303" t="s">
        <v>383</v>
      </c>
      <c r="H17" s="303" t="s">
        <v>384</v>
      </c>
      <c r="I17" s="303" t="s">
        <v>383</v>
      </c>
      <c r="J17" s="303" t="s">
        <v>384</v>
      </c>
      <c r="K17" s="303" t="s">
        <v>383</v>
      </c>
      <c r="L17" s="303" t="s">
        <v>384</v>
      </c>
    </row>
    <row r="18" spans="2:12" x14ac:dyDescent="0.25">
      <c r="B18" s="756" t="s">
        <v>385</v>
      </c>
      <c r="C18" s="757"/>
      <c r="D18" s="757"/>
      <c r="E18" s="757"/>
      <c r="F18" s="757"/>
      <c r="G18" s="757"/>
      <c r="H18" s="757"/>
      <c r="I18" s="757"/>
      <c r="J18" s="757"/>
      <c r="K18" s="757"/>
      <c r="L18" s="758"/>
    </row>
    <row r="19" spans="2:12" x14ac:dyDescent="0.25">
      <c r="B19" s="273" t="s">
        <v>386</v>
      </c>
      <c r="C19" s="269"/>
      <c r="D19" s="270"/>
      <c r="E19" s="270"/>
      <c r="F19" s="270"/>
      <c r="G19" s="270"/>
      <c r="H19" s="270"/>
      <c r="I19" s="270"/>
      <c r="J19" s="269"/>
      <c r="K19" s="269"/>
      <c r="L19" s="270"/>
    </row>
    <row r="20" spans="2:12" x14ac:dyDescent="0.25">
      <c r="B20" s="304" t="s">
        <v>387</v>
      </c>
      <c r="C20" s="304" t="s">
        <v>388</v>
      </c>
      <c r="D20" s="305">
        <v>109.58</v>
      </c>
      <c r="E20" s="305">
        <v>20</v>
      </c>
      <c r="F20" s="306">
        <v>2191.6799999999998</v>
      </c>
      <c r="G20" s="307"/>
      <c r="H20" s="307"/>
      <c r="I20" s="307"/>
      <c r="J20" s="307"/>
      <c r="K20" s="307"/>
      <c r="L20" s="307"/>
    </row>
    <row r="21" spans="2:12" x14ac:dyDescent="0.25">
      <c r="B21" s="308" t="s">
        <v>389</v>
      </c>
      <c r="C21" s="308" t="s">
        <v>390</v>
      </c>
      <c r="D21" s="309">
        <v>296.57</v>
      </c>
      <c r="E21" s="309">
        <v>1</v>
      </c>
      <c r="F21" s="309">
        <v>296.57</v>
      </c>
      <c r="G21" s="310"/>
      <c r="H21" s="310"/>
      <c r="I21" s="310"/>
      <c r="J21" s="310"/>
      <c r="K21" s="310"/>
      <c r="L21" s="310"/>
    </row>
    <row r="22" spans="2:12" x14ac:dyDescent="0.25">
      <c r="B22" s="304" t="s">
        <v>280</v>
      </c>
      <c r="C22" s="304" t="s">
        <v>391</v>
      </c>
      <c r="D22" s="305">
        <v>107.06</v>
      </c>
      <c r="E22" s="305">
        <v>3</v>
      </c>
      <c r="F22" s="305">
        <v>321.19</v>
      </c>
      <c r="G22" s="307"/>
      <c r="H22" s="307"/>
      <c r="I22" s="307"/>
      <c r="J22" s="307"/>
      <c r="K22" s="307"/>
      <c r="L22" s="307"/>
    </row>
    <row r="23" spans="2:12" x14ac:dyDescent="0.25">
      <c r="B23" s="308" t="s">
        <v>392</v>
      </c>
      <c r="C23" s="308" t="s">
        <v>393</v>
      </c>
      <c r="D23" s="309">
        <v>108.38</v>
      </c>
      <c r="E23" s="309">
        <v>3</v>
      </c>
      <c r="F23" s="309">
        <v>325.14</v>
      </c>
      <c r="G23" s="310"/>
      <c r="H23" s="310"/>
      <c r="I23" s="310"/>
      <c r="J23" s="310"/>
      <c r="K23" s="310"/>
      <c r="L23" s="310"/>
    </row>
    <row r="24" spans="2:12" x14ac:dyDescent="0.25">
      <c r="B24" s="304" t="s">
        <v>277</v>
      </c>
      <c r="C24" s="304" t="s">
        <v>394</v>
      </c>
      <c r="D24" s="305">
        <v>116</v>
      </c>
      <c r="E24" s="305">
        <v>1</v>
      </c>
      <c r="F24" s="305">
        <v>116</v>
      </c>
      <c r="G24" s="305">
        <v>0.5</v>
      </c>
      <c r="H24" s="305">
        <v>58</v>
      </c>
      <c r="I24" s="305">
        <v>0.5</v>
      </c>
      <c r="J24" s="305">
        <v>58</v>
      </c>
      <c r="K24" s="305">
        <v>0.5</v>
      </c>
      <c r="L24" s="305">
        <v>58</v>
      </c>
    </row>
    <row r="25" spans="2:12" x14ac:dyDescent="0.25">
      <c r="B25" s="308" t="s">
        <v>395</v>
      </c>
      <c r="C25" s="308" t="s">
        <v>396</v>
      </c>
      <c r="D25" s="309">
        <v>109.66</v>
      </c>
      <c r="E25" s="309">
        <v>1</v>
      </c>
      <c r="F25" s="309">
        <v>109.66</v>
      </c>
      <c r="G25" s="310"/>
      <c r="H25" s="310"/>
      <c r="I25" s="310"/>
      <c r="J25" s="310"/>
      <c r="K25" s="310"/>
      <c r="L25" s="310"/>
    </row>
    <row r="26" spans="2:12" x14ac:dyDescent="0.25">
      <c r="B26" s="304" t="s">
        <v>397</v>
      </c>
      <c r="C26" s="304" t="s">
        <v>398</v>
      </c>
      <c r="D26" s="305">
        <v>106.35</v>
      </c>
      <c r="E26" s="305">
        <v>2</v>
      </c>
      <c r="F26" s="305">
        <v>212.71</v>
      </c>
      <c r="G26" s="307"/>
      <c r="H26" s="307"/>
      <c r="I26" s="307"/>
      <c r="J26" s="307"/>
      <c r="K26" s="307"/>
      <c r="L26" s="307"/>
    </row>
    <row r="27" spans="2:12" x14ac:dyDescent="0.25">
      <c r="B27" s="273" t="s">
        <v>399</v>
      </c>
      <c r="C27" s="269"/>
      <c r="D27" s="270"/>
      <c r="E27" s="270"/>
      <c r="F27" s="270"/>
      <c r="G27" s="270"/>
      <c r="H27" s="270"/>
      <c r="I27" s="270"/>
      <c r="J27" s="269"/>
      <c r="K27" s="269"/>
      <c r="L27" s="270"/>
    </row>
    <row r="28" spans="2:12" x14ac:dyDescent="0.25">
      <c r="B28" s="304" t="s">
        <v>400</v>
      </c>
      <c r="C28" s="304" t="s">
        <v>401</v>
      </c>
      <c r="D28" s="305">
        <v>109.12</v>
      </c>
      <c r="E28" s="305">
        <v>1</v>
      </c>
      <c r="F28" s="305">
        <v>109.12</v>
      </c>
      <c r="G28" s="307"/>
      <c r="H28" s="307"/>
      <c r="I28" s="307"/>
      <c r="J28" s="307"/>
      <c r="K28" s="307"/>
      <c r="L28" s="307"/>
    </row>
    <row r="29" spans="2:12" x14ac:dyDescent="0.25">
      <c r="B29" s="273" t="s">
        <v>402</v>
      </c>
      <c r="C29" s="269"/>
      <c r="D29" s="270"/>
      <c r="E29" s="270"/>
      <c r="F29" s="270"/>
      <c r="G29" s="270"/>
      <c r="H29" s="270"/>
      <c r="I29" s="270"/>
      <c r="J29" s="269"/>
      <c r="K29" s="269"/>
      <c r="L29" s="270"/>
    </row>
    <row r="30" spans="2:12" x14ac:dyDescent="0.25">
      <c r="B30" s="304" t="s">
        <v>403</v>
      </c>
      <c r="C30" s="304" t="s">
        <v>401</v>
      </c>
      <c r="D30" s="305">
        <v>109.12</v>
      </c>
      <c r="E30" s="305">
        <v>0.5</v>
      </c>
      <c r="F30" s="305">
        <v>54.56</v>
      </c>
      <c r="G30" s="305">
        <v>1</v>
      </c>
      <c r="H30" s="305">
        <v>109.12</v>
      </c>
      <c r="I30" s="305">
        <v>1</v>
      </c>
      <c r="J30" s="305">
        <v>109.12</v>
      </c>
      <c r="K30" s="305">
        <v>1</v>
      </c>
      <c r="L30" s="305">
        <v>109.12</v>
      </c>
    </row>
    <row r="31" spans="2:12" x14ac:dyDescent="0.25">
      <c r="B31" s="308" t="s">
        <v>404</v>
      </c>
      <c r="C31" s="308" t="s">
        <v>401</v>
      </c>
      <c r="D31" s="309">
        <v>109.12</v>
      </c>
      <c r="E31" s="309">
        <v>0.5</v>
      </c>
      <c r="F31" s="309">
        <v>54.56</v>
      </c>
      <c r="G31" s="310"/>
      <c r="H31" s="310"/>
      <c r="I31" s="310"/>
      <c r="J31" s="310"/>
      <c r="K31" s="310"/>
      <c r="L31" s="310"/>
    </row>
    <row r="32" spans="2:12" x14ac:dyDescent="0.25">
      <c r="B32" s="304" t="s">
        <v>405</v>
      </c>
      <c r="C32" s="304" t="s">
        <v>388</v>
      </c>
      <c r="D32" s="305">
        <v>109.58</v>
      </c>
      <c r="E32" s="305">
        <v>2</v>
      </c>
      <c r="F32" s="305">
        <v>219.14</v>
      </c>
      <c r="G32" s="307"/>
      <c r="H32" s="307"/>
      <c r="I32" s="307"/>
      <c r="J32" s="307"/>
      <c r="K32" s="307"/>
      <c r="L32" s="307"/>
    </row>
    <row r="33" spans="2:12" x14ac:dyDescent="0.25">
      <c r="B33" s="308" t="s">
        <v>406</v>
      </c>
      <c r="C33" s="308" t="s">
        <v>407</v>
      </c>
      <c r="D33" s="309">
        <v>4.79</v>
      </c>
      <c r="E33" s="309">
        <v>128</v>
      </c>
      <c r="F33" s="309">
        <v>613.57000000000005</v>
      </c>
      <c r="G33" s="311">
        <v>160</v>
      </c>
      <c r="H33" s="311">
        <v>766.96</v>
      </c>
      <c r="I33" s="311">
        <v>160</v>
      </c>
      <c r="J33" s="311">
        <v>766.96</v>
      </c>
      <c r="K33" s="311">
        <v>160</v>
      </c>
      <c r="L33" s="311">
        <v>766.96</v>
      </c>
    </row>
    <row r="34" spans="2:12" x14ac:dyDescent="0.25">
      <c r="B34" s="304" t="s">
        <v>408</v>
      </c>
      <c r="C34" s="304" t="s">
        <v>409</v>
      </c>
      <c r="D34" s="305">
        <v>109.58</v>
      </c>
      <c r="E34" s="305">
        <v>0.5</v>
      </c>
      <c r="F34" s="305">
        <v>54.79</v>
      </c>
      <c r="G34" s="306">
        <v>0.5</v>
      </c>
      <c r="H34" s="306">
        <v>54.79</v>
      </c>
      <c r="I34" s="306">
        <v>0.5</v>
      </c>
      <c r="J34" s="306">
        <v>54.79</v>
      </c>
      <c r="K34" s="306">
        <v>0.5</v>
      </c>
      <c r="L34" s="306">
        <v>54.79</v>
      </c>
    </row>
    <row r="35" spans="2:12" x14ac:dyDescent="0.25">
      <c r="B35" s="312" t="s">
        <v>316</v>
      </c>
      <c r="C35" s="312" t="s">
        <v>410</v>
      </c>
      <c r="D35" s="313"/>
      <c r="E35" s="313"/>
      <c r="F35" s="314">
        <v>4679</v>
      </c>
      <c r="G35" s="313"/>
      <c r="H35" s="315">
        <v>989</v>
      </c>
      <c r="I35" s="313"/>
      <c r="J35" s="315">
        <v>989</v>
      </c>
      <c r="K35" s="313"/>
      <c r="L35" s="315">
        <v>989</v>
      </c>
    </row>
    <row r="36" spans="2:12" x14ac:dyDescent="0.25">
      <c r="B36" s="682" t="s">
        <v>411</v>
      </c>
      <c r="C36" s="683"/>
      <c r="D36" s="683"/>
      <c r="E36" s="683"/>
      <c r="F36" s="683"/>
      <c r="G36" s="683"/>
      <c r="H36" s="683"/>
      <c r="I36" s="683"/>
      <c r="J36" s="683"/>
      <c r="K36" s="683"/>
      <c r="L36" s="683"/>
    </row>
    <row r="37" spans="2:12" x14ac:dyDescent="0.25">
      <c r="B37" s="273" t="s">
        <v>412</v>
      </c>
      <c r="C37" s="269"/>
      <c r="D37" s="270"/>
      <c r="E37" s="270"/>
      <c r="F37" s="270"/>
      <c r="G37" s="270"/>
      <c r="H37" s="270"/>
      <c r="I37" s="270"/>
      <c r="J37" s="269"/>
      <c r="K37" s="269"/>
      <c r="L37" s="270"/>
    </row>
    <row r="38" spans="2:12" x14ac:dyDescent="0.25">
      <c r="B38" s="304" t="s">
        <v>277</v>
      </c>
      <c r="C38" s="304" t="s">
        <v>413</v>
      </c>
      <c r="D38" s="305">
        <v>85.2</v>
      </c>
      <c r="E38" s="305">
        <v>0.5</v>
      </c>
      <c r="F38" s="305">
        <v>42.6</v>
      </c>
      <c r="G38" s="305">
        <v>0.5</v>
      </c>
      <c r="H38" s="305">
        <v>42.6</v>
      </c>
      <c r="I38" s="305">
        <v>0.5</v>
      </c>
      <c r="J38" s="305">
        <v>42.6</v>
      </c>
      <c r="K38" s="305">
        <v>0.5</v>
      </c>
      <c r="L38" s="305">
        <v>42.6</v>
      </c>
    </row>
    <row r="39" spans="2:12" x14ac:dyDescent="0.25">
      <c r="B39" s="308" t="s">
        <v>414</v>
      </c>
      <c r="C39" s="308" t="s">
        <v>415</v>
      </c>
      <c r="D39" s="309">
        <v>318.52</v>
      </c>
      <c r="E39" s="309">
        <v>0.5</v>
      </c>
      <c r="F39" s="309">
        <v>159.26</v>
      </c>
      <c r="G39" s="310"/>
      <c r="H39" s="310"/>
      <c r="I39" s="310"/>
      <c r="J39" s="310"/>
      <c r="K39" s="310"/>
      <c r="L39" s="310"/>
    </row>
    <row r="40" spans="2:12" x14ac:dyDescent="0.25">
      <c r="B40" s="312" t="s">
        <v>416</v>
      </c>
      <c r="C40" s="307"/>
      <c r="D40" s="307"/>
      <c r="E40" s="307"/>
      <c r="F40" s="307"/>
      <c r="G40" s="307"/>
      <c r="H40" s="307"/>
      <c r="I40" s="307"/>
      <c r="J40" s="307"/>
      <c r="K40" s="307"/>
      <c r="L40" s="307"/>
    </row>
    <row r="41" spans="2:12" x14ac:dyDescent="0.25">
      <c r="B41" s="308" t="s">
        <v>417</v>
      </c>
      <c r="C41" s="308" t="s">
        <v>413</v>
      </c>
      <c r="D41" s="309">
        <v>85.2</v>
      </c>
      <c r="E41" s="309">
        <v>1.5</v>
      </c>
      <c r="F41" s="309">
        <v>127.8</v>
      </c>
      <c r="G41" s="310"/>
      <c r="H41" s="310"/>
      <c r="I41" s="310"/>
      <c r="J41" s="310"/>
      <c r="K41" s="310"/>
      <c r="L41" s="310"/>
    </row>
    <row r="42" spans="2:12" x14ac:dyDescent="0.25">
      <c r="B42" s="304" t="s">
        <v>418</v>
      </c>
      <c r="C42" s="304" t="s">
        <v>413</v>
      </c>
      <c r="D42" s="305">
        <v>85.2</v>
      </c>
      <c r="E42" s="305">
        <v>3</v>
      </c>
      <c r="F42" s="305">
        <v>255.6</v>
      </c>
      <c r="G42" s="307"/>
      <c r="H42" s="307"/>
      <c r="I42" s="307"/>
      <c r="J42" s="307"/>
      <c r="K42" s="307"/>
      <c r="L42" s="307"/>
    </row>
    <row r="43" spans="2:12" x14ac:dyDescent="0.25">
      <c r="B43" s="308" t="s">
        <v>419</v>
      </c>
      <c r="C43" s="308" t="s">
        <v>413</v>
      </c>
      <c r="D43" s="309">
        <v>85.2</v>
      </c>
      <c r="E43" s="309">
        <v>1</v>
      </c>
      <c r="F43" s="309">
        <v>85.2</v>
      </c>
      <c r="G43" s="310"/>
      <c r="H43" s="310"/>
      <c r="I43" s="310"/>
      <c r="J43" s="310"/>
      <c r="K43" s="310"/>
      <c r="L43" s="310"/>
    </row>
    <row r="44" spans="2:12" x14ac:dyDescent="0.25">
      <c r="B44" s="304" t="s">
        <v>420</v>
      </c>
      <c r="C44" s="304" t="s">
        <v>413</v>
      </c>
      <c r="D44" s="305">
        <v>85.2</v>
      </c>
      <c r="E44" s="305">
        <v>3</v>
      </c>
      <c r="F44" s="305">
        <v>255.6</v>
      </c>
      <c r="G44" s="307"/>
      <c r="H44" s="307"/>
      <c r="I44" s="307"/>
      <c r="J44" s="307"/>
      <c r="K44" s="307"/>
      <c r="L44" s="307"/>
    </row>
    <row r="45" spans="2:12" x14ac:dyDescent="0.25">
      <c r="B45" s="316" t="s">
        <v>421</v>
      </c>
      <c r="C45" s="310"/>
      <c r="D45" s="310"/>
      <c r="E45" s="310"/>
      <c r="F45" s="310"/>
      <c r="G45" s="310"/>
      <c r="H45" s="310"/>
      <c r="I45" s="310"/>
      <c r="J45" s="310"/>
      <c r="K45" s="310"/>
      <c r="L45" s="310"/>
    </row>
    <row r="46" spans="2:12" x14ac:dyDescent="0.25">
      <c r="B46" s="304" t="s">
        <v>422</v>
      </c>
      <c r="C46" s="304" t="s">
        <v>413</v>
      </c>
      <c r="D46" s="305">
        <v>85.2</v>
      </c>
      <c r="E46" s="305">
        <v>2</v>
      </c>
      <c r="F46" s="305">
        <v>170.4</v>
      </c>
      <c r="G46" s="305">
        <v>4</v>
      </c>
      <c r="H46" s="305">
        <v>340.8</v>
      </c>
      <c r="I46" s="305">
        <v>4</v>
      </c>
      <c r="J46" s="305">
        <v>340.8</v>
      </c>
      <c r="K46" s="305">
        <v>4</v>
      </c>
      <c r="L46" s="305">
        <v>340.8</v>
      </c>
    </row>
    <row r="47" spans="2:12" x14ac:dyDescent="0.25">
      <c r="B47" s="308" t="s">
        <v>423</v>
      </c>
      <c r="C47" s="308" t="s">
        <v>413</v>
      </c>
      <c r="D47" s="309">
        <v>85.2</v>
      </c>
      <c r="E47" s="310"/>
      <c r="F47" s="310"/>
      <c r="G47" s="309">
        <v>4</v>
      </c>
      <c r="H47" s="309">
        <v>340.8</v>
      </c>
      <c r="I47" s="309">
        <v>8</v>
      </c>
      <c r="J47" s="309">
        <v>681.6</v>
      </c>
      <c r="K47" s="309">
        <v>8</v>
      </c>
      <c r="L47" s="309">
        <v>681.6</v>
      </c>
    </row>
    <row r="48" spans="2:12" x14ac:dyDescent="0.25">
      <c r="B48" s="304" t="s">
        <v>424</v>
      </c>
      <c r="C48" s="304" t="s">
        <v>413</v>
      </c>
      <c r="D48" s="305">
        <v>85.2</v>
      </c>
      <c r="E48" s="305">
        <v>4</v>
      </c>
      <c r="F48" s="305">
        <v>340.8</v>
      </c>
      <c r="G48" s="307"/>
      <c r="H48" s="307"/>
      <c r="I48" s="307"/>
      <c r="J48" s="307"/>
      <c r="K48" s="307"/>
      <c r="L48" s="307"/>
    </row>
    <row r="49" spans="2:14" x14ac:dyDescent="0.25">
      <c r="B49" s="308" t="s">
        <v>425</v>
      </c>
      <c r="C49" s="308" t="s">
        <v>413</v>
      </c>
      <c r="D49" s="309">
        <v>85.2</v>
      </c>
      <c r="E49" s="309">
        <v>4</v>
      </c>
      <c r="F49" s="309">
        <v>340.8</v>
      </c>
      <c r="G49" s="309">
        <v>6</v>
      </c>
      <c r="H49" s="309">
        <v>511.2</v>
      </c>
      <c r="I49" s="309">
        <v>6</v>
      </c>
      <c r="J49" s="309">
        <v>511.2</v>
      </c>
      <c r="K49" s="309">
        <v>6</v>
      </c>
      <c r="L49" s="309">
        <v>511.2</v>
      </c>
    </row>
    <row r="50" spans="2:14" x14ac:dyDescent="0.25">
      <c r="B50" s="304" t="s">
        <v>426</v>
      </c>
      <c r="C50" s="304" t="s">
        <v>413</v>
      </c>
      <c r="D50" s="305">
        <v>85.2</v>
      </c>
      <c r="E50" s="305">
        <v>2</v>
      </c>
      <c r="F50" s="305">
        <v>170.4</v>
      </c>
      <c r="G50" s="305">
        <v>4</v>
      </c>
      <c r="H50" s="305">
        <v>340.8</v>
      </c>
      <c r="I50" s="305">
        <v>4</v>
      </c>
      <c r="J50" s="305">
        <v>340.8</v>
      </c>
      <c r="K50" s="305">
        <v>4</v>
      </c>
      <c r="L50" s="305">
        <v>340.8</v>
      </c>
    </row>
    <row r="51" spans="2:14" x14ac:dyDescent="0.25">
      <c r="B51" s="308" t="s">
        <v>427</v>
      </c>
      <c r="C51" s="308" t="s">
        <v>413</v>
      </c>
      <c r="D51" s="309">
        <v>85.2</v>
      </c>
      <c r="E51" s="309">
        <v>4</v>
      </c>
      <c r="F51" s="309">
        <v>340.8</v>
      </c>
      <c r="G51" s="309">
        <v>6</v>
      </c>
      <c r="H51" s="309">
        <v>511.2</v>
      </c>
      <c r="I51" s="309">
        <v>6</v>
      </c>
      <c r="J51" s="309">
        <v>511.2</v>
      </c>
      <c r="K51" s="309">
        <v>5</v>
      </c>
      <c r="L51" s="309">
        <v>426</v>
      </c>
    </row>
    <row r="52" spans="2:14" x14ac:dyDescent="0.25">
      <c r="B52" s="304" t="s">
        <v>428</v>
      </c>
      <c r="C52" s="304" t="s">
        <v>413</v>
      </c>
      <c r="D52" s="305">
        <v>85.2</v>
      </c>
      <c r="E52" s="305">
        <v>1</v>
      </c>
      <c r="F52" s="305">
        <v>85.2</v>
      </c>
      <c r="G52" s="305">
        <v>2</v>
      </c>
      <c r="H52" s="305">
        <v>170.4</v>
      </c>
      <c r="I52" s="305">
        <v>2</v>
      </c>
      <c r="J52" s="305">
        <v>170.4</v>
      </c>
      <c r="K52" s="305">
        <v>2</v>
      </c>
      <c r="L52" s="305">
        <v>170.4</v>
      </c>
    </row>
    <row r="53" spans="2:14" x14ac:dyDescent="0.25">
      <c r="B53" s="308" t="s">
        <v>429</v>
      </c>
      <c r="C53" s="308" t="s">
        <v>413</v>
      </c>
      <c r="D53" s="309">
        <v>85.2</v>
      </c>
      <c r="E53" s="310"/>
      <c r="F53" s="310"/>
      <c r="G53" s="309">
        <v>2</v>
      </c>
      <c r="H53" s="309">
        <v>170.4</v>
      </c>
      <c r="I53" s="309">
        <v>4</v>
      </c>
      <c r="J53" s="309">
        <v>340.8</v>
      </c>
      <c r="K53" s="309">
        <v>4</v>
      </c>
      <c r="L53" s="309">
        <v>340.8</v>
      </c>
    </row>
    <row r="54" spans="2:14" x14ac:dyDescent="0.25">
      <c r="B54" s="304" t="s">
        <v>430</v>
      </c>
      <c r="C54" s="304" t="s">
        <v>413</v>
      </c>
      <c r="D54" s="305">
        <v>85.2</v>
      </c>
      <c r="E54" s="305">
        <v>4</v>
      </c>
      <c r="F54" s="305">
        <v>340.8</v>
      </c>
      <c r="G54" s="305">
        <v>6</v>
      </c>
      <c r="H54" s="305">
        <v>511.2</v>
      </c>
      <c r="I54" s="305">
        <v>6</v>
      </c>
      <c r="J54" s="305">
        <v>511.2</v>
      </c>
      <c r="K54" s="305">
        <v>6</v>
      </c>
      <c r="L54" s="305">
        <v>511.2</v>
      </c>
    </row>
    <row r="55" spans="2:14" x14ac:dyDescent="0.25">
      <c r="B55" s="308" t="s">
        <v>431</v>
      </c>
      <c r="C55" s="308" t="s">
        <v>413</v>
      </c>
      <c r="D55" s="309">
        <v>85.2</v>
      </c>
      <c r="E55" s="309">
        <v>2</v>
      </c>
      <c r="F55" s="309">
        <v>170.4</v>
      </c>
      <c r="G55" s="309">
        <v>1</v>
      </c>
      <c r="H55" s="309">
        <v>85.2</v>
      </c>
      <c r="I55" s="309">
        <v>1</v>
      </c>
      <c r="J55" s="309">
        <v>85.2</v>
      </c>
      <c r="K55" s="309">
        <v>1</v>
      </c>
      <c r="L55" s="309">
        <v>85.2</v>
      </c>
    </row>
    <row r="56" spans="2:14" ht="15" customHeight="1" x14ac:dyDescent="0.25">
      <c r="B56" s="312" t="s">
        <v>432</v>
      </c>
      <c r="C56" s="307"/>
      <c r="D56" s="307"/>
      <c r="E56" s="307"/>
      <c r="F56" s="307"/>
      <c r="G56" s="307"/>
      <c r="H56" s="307"/>
      <c r="I56" s="307"/>
      <c r="J56" s="307"/>
      <c r="K56" s="307"/>
      <c r="L56" s="307"/>
      <c r="N56" s="666" t="s">
        <v>207</v>
      </c>
    </row>
    <row r="57" spans="2:14" x14ac:dyDescent="0.25">
      <c r="B57" s="308" t="s">
        <v>433</v>
      </c>
      <c r="C57" s="308" t="s">
        <v>434</v>
      </c>
      <c r="D57" s="309">
        <v>106.5</v>
      </c>
      <c r="E57" s="309">
        <v>10</v>
      </c>
      <c r="F57" s="317">
        <v>1065</v>
      </c>
      <c r="G57" s="309">
        <v>20</v>
      </c>
      <c r="H57" s="317">
        <v>2130</v>
      </c>
      <c r="I57" s="309">
        <v>20</v>
      </c>
      <c r="J57" s="317">
        <v>2130</v>
      </c>
      <c r="K57" s="309">
        <v>20</v>
      </c>
      <c r="L57" s="317">
        <v>2130</v>
      </c>
      <c r="N57" s="666"/>
    </row>
    <row r="58" spans="2:14" x14ac:dyDescent="0.25">
      <c r="B58" s="312" t="s">
        <v>335</v>
      </c>
      <c r="C58" s="312" t="s">
        <v>410</v>
      </c>
      <c r="D58" s="313"/>
      <c r="E58" s="313"/>
      <c r="F58" s="314">
        <v>3951</v>
      </c>
      <c r="G58" s="313"/>
      <c r="H58" s="314">
        <v>5155</v>
      </c>
      <c r="I58" s="313"/>
      <c r="J58" s="314">
        <v>5666</v>
      </c>
      <c r="K58" s="313"/>
      <c r="L58" s="314">
        <v>5581</v>
      </c>
      <c r="N58" s="666"/>
    </row>
    <row r="59" spans="2:14" x14ac:dyDescent="0.25">
      <c r="B59" s="312" t="s">
        <v>435</v>
      </c>
      <c r="C59" s="312"/>
      <c r="D59" s="313"/>
      <c r="E59" s="313"/>
      <c r="F59" s="314">
        <v>8629</v>
      </c>
      <c r="G59" s="313"/>
      <c r="H59" s="314">
        <v>6143</v>
      </c>
      <c r="I59" s="313"/>
      <c r="J59" s="314">
        <v>6655</v>
      </c>
      <c r="K59" s="313"/>
      <c r="L59" s="314">
        <v>6569</v>
      </c>
      <c r="N59" s="666"/>
    </row>
    <row r="60" spans="2:14" x14ac:dyDescent="0.25">
      <c r="B60" s="682" t="s">
        <v>436</v>
      </c>
      <c r="C60" s="683"/>
      <c r="D60" s="683"/>
      <c r="E60" s="683"/>
      <c r="F60" s="683"/>
      <c r="G60" s="683"/>
      <c r="H60" s="683"/>
      <c r="I60" s="683"/>
      <c r="J60" s="683"/>
      <c r="K60" s="683"/>
      <c r="L60" s="683"/>
      <c r="N60" s="666"/>
    </row>
    <row r="61" spans="2:14" x14ac:dyDescent="0.25">
      <c r="B61" s="316" t="s">
        <v>437</v>
      </c>
      <c r="C61" s="318"/>
      <c r="D61" s="318"/>
      <c r="E61" s="318"/>
      <c r="F61" s="318"/>
      <c r="G61" s="318"/>
      <c r="H61" s="318"/>
      <c r="I61" s="318"/>
      <c r="J61" s="318"/>
      <c r="K61" s="318"/>
      <c r="L61" s="318"/>
      <c r="N61" s="666"/>
    </row>
    <row r="62" spans="2:14" x14ac:dyDescent="0.25">
      <c r="B62" s="304" t="s">
        <v>438</v>
      </c>
      <c r="C62" s="304" t="s">
        <v>320</v>
      </c>
      <c r="D62" s="305">
        <v>200</v>
      </c>
      <c r="E62" s="305">
        <v>2</v>
      </c>
      <c r="F62" s="305">
        <v>400</v>
      </c>
      <c r="G62" s="305">
        <v>1</v>
      </c>
      <c r="H62" s="305">
        <v>200</v>
      </c>
      <c r="I62" s="305">
        <v>1</v>
      </c>
      <c r="J62" s="305">
        <v>200</v>
      </c>
      <c r="K62" s="305">
        <v>1</v>
      </c>
      <c r="L62" s="305">
        <v>200</v>
      </c>
      <c r="N62" s="666"/>
    </row>
    <row r="63" spans="2:14" x14ac:dyDescent="0.25">
      <c r="B63" s="308" t="s">
        <v>439</v>
      </c>
      <c r="C63" s="308" t="s">
        <v>320</v>
      </c>
      <c r="D63" s="317">
        <v>125</v>
      </c>
      <c r="E63" s="309">
        <v>0.5</v>
      </c>
      <c r="F63" s="309">
        <v>625</v>
      </c>
      <c r="G63" s="310"/>
      <c r="H63" s="310"/>
      <c r="I63" s="310"/>
      <c r="J63" s="310"/>
      <c r="K63" s="310"/>
      <c r="L63" s="310"/>
      <c r="N63" s="666"/>
    </row>
    <row r="64" spans="2:14" x14ac:dyDescent="0.25">
      <c r="B64" s="304" t="s">
        <v>440</v>
      </c>
      <c r="C64" s="304" t="s">
        <v>320</v>
      </c>
      <c r="D64" s="306">
        <v>1700</v>
      </c>
      <c r="E64" s="305">
        <v>0.5</v>
      </c>
      <c r="F64" s="305">
        <v>850</v>
      </c>
      <c r="G64" s="307"/>
      <c r="H64" s="307"/>
      <c r="I64" s="307"/>
      <c r="J64" s="307"/>
      <c r="K64" s="307"/>
      <c r="L64" s="307"/>
      <c r="N64" s="666"/>
    </row>
    <row r="65" spans="2:14" ht="20.25" customHeight="1" x14ac:dyDescent="0.25">
      <c r="B65" s="308" t="s">
        <v>441</v>
      </c>
      <c r="C65" s="308" t="s">
        <v>320</v>
      </c>
      <c r="D65" s="317">
        <v>2000</v>
      </c>
      <c r="E65" s="309">
        <v>0.1</v>
      </c>
      <c r="F65" s="309">
        <v>200</v>
      </c>
      <c r="G65" s="309">
        <v>0.1</v>
      </c>
      <c r="H65" s="309">
        <v>200</v>
      </c>
      <c r="I65" s="309">
        <v>0.1</v>
      </c>
      <c r="J65" s="309">
        <v>200</v>
      </c>
      <c r="K65" s="309">
        <v>0.1</v>
      </c>
      <c r="L65" s="309">
        <v>200</v>
      </c>
      <c r="N65" s="666"/>
    </row>
    <row r="66" spans="2:14" x14ac:dyDescent="0.25">
      <c r="B66" s="304" t="s">
        <v>442</v>
      </c>
      <c r="C66" s="304" t="s">
        <v>320</v>
      </c>
      <c r="D66" s="306">
        <v>1900</v>
      </c>
      <c r="E66" s="305">
        <v>1.2</v>
      </c>
      <c r="F66" s="306">
        <v>2280</v>
      </c>
      <c r="G66" s="305">
        <v>1.8</v>
      </c>
      <c r="H66" s="306">
        <v>3420</v>
      </c>
      <c r="I66" s="305">
        <v>1.8</v>
      </c>
      <c r="J66" s="306">
        <v>3420</v>
      </c>
      <c r="K66" s="305">
        <v>1.5</v>
      </c>
      <c r="L66" s="306">
        <v>2850</v>
      </c>
      <c r="N66" s="666"/>
    </row>
    <row r="67" spans="2:14" x14ac:dyDescent="0.25">
      <c r="B67" s="316" t="s">
        <v>443</v>
      </c>
      <c r="C67" s="318"/>
      <c r="D67" s="318"/>
      <c r="E67" s="318"/>
      <c r="F67" s="318"/>
      <c r="G67" s="318"/>
      <c r="H67" s="318"/>
      <c r="I67" s="318"/>
      <c r="J67" s="318"/>
      <c r="K67" s="318"/>
      <c r="L67" s="318"/>
    </row>
    <row r="68" spans="2:14" x14ac:dyDescent="0.25">
      <c r="B68" s="304" t="s">
        <v>444</v>
      </c>
      <c r="C68" s="304" t="s">
        <v>329</v>
      </c>
      <c r="D68" s="305">
        <v>4.8</v>
      </c>
      <c r="E68" s="305">
        <v>64</v>
      </c>
      <c r="F68" s="305">
        <v>307.2</v>
      </c>
      <c r="G68" s="305">
        <v>80</v>
      </c>
      <c r="H68" s="305">
        <v>384</v>
      </c>
      <c r="I68" s="305">
        <v>80</v>
      </c>
      <c r="J68" s="305">
        <v>384</v>
      </c>
      <c r="K68" s="305">
        <v>80</v>
      </c>
      <c r="L68" s="305">
        <v>384</v>
      </c>
    </row>
    <row r="69" spans="2:14" x14ac:dyDescent="0.25">
      <c r="B69" s="308" t="s">
        <v>445</v>
      </c>
      <c r="C69" s="308" t="s">
        <v>329</v>
      </c>
      <c r="D69" s="310"/>
      <c r="E69" s="309">
        <v>11.3</v>
      </c>
      <c r="F69" s="309">
        <v>681.5</v>
      </c>
      <c r="G69" s="309">
        <v>13.3</v>
      </c>
      <c r="H69" s="309">
        <v>816.5</v>
      </c>
      <c r="I69" s="309">
        <v>13.3</v>
      </c>
      <c r="J69" s="309">
        <v>816.5</v>
      </c>
      <c r="K69" s="309">
        <v>13.3</v>
      </c>
      <c r="L69" s="309">
        <v>816.5</v>
      </c>
    </row>
    <row r="70" spans="2:14" x14ac:dyDescent="0.25">
      <c r="B70" s="304" t="s">
        <v>446</v>
      </c>
      <c r="C70" s="304" t="s">
        <v>447</v>
      </c>
      <c r="D70" s="305">
        <v>80</v>
      </c>
      <c r="E70" s="307"/>
      <c r="F70" s="307"/>
      <c r="G70" s="305">
        <v>1</v>
      </c>
      <c r="H70" s="305">
        <v>80</v>
      </c>
      <c r="I70" s="305">
        <v>1</v>
      </c>
      <c r="J70" s="305">
        <v>80</v>
      </c>
      <c r="K70" s="305">
        <v>3</v>
      </c>
      <c r="L70" s="305">
        <v>240</v>
      </c>
    </row>
    <row r="71" spans="2:14" x14ac:dyDescent="0.25">
      <c r="B71" s="308" t="s">
        <v>448</v>
      </c>
      <c r="C71" s="308" t="s">
        <v>329</v>
      </c>
      <c r="D71" s="309">
        <v>110</v>
      </c>
      <c r="E71" s="309">
        <v>1</v>
      </c>
      <c r="F71" s="309">
        <v>110</v>
      </c>
      <c r="G71" s="309">
        <v>1.6</v>
      </c>
      <c r="H71" s="309">
        <v>176</v>
      </c>
      <c r="I71" s="309">
        <v>1.6</v>
      </c>
      <c r="J71" s="309">
        <v>176</v>
      </c>
      <c r="K71" s="309">
        <v>1.6</v>
      </c>
      <c r="L71" s="309">
        <v>176</v>
      </c>
    </row>
    <row r="72" spans="2:14" x14ac:dyDescent="0.25">
      <c r="B72" s="304" t="s">
        <v>449</v>
      </c>
      <c r="C72" s="304" t="s">
        <v>329</v>
      </c>
      <c r="D72" s="305">
        <v>100</v>
      </c>
      <c r="E72" s="305">
        <v>5</v>
      </c>
      <c r="F72" s="305">
        <v>500</v>
      </c>
      <c r="G72" s="305">
        <v>3</v>
      </c>
      <c r="H72" s="305">
        <v>300</v>
      </c>
      <c r="I72" s="305">
        <v>3</v>
      </c>
      <c r="J72" s="305">
        <v>300</v>
      </c>
      <c r="K72" s="305">
        <v>2</v>
      </c>
      <c r="L72" s="305">
        <v>200</v>
      </c>
    </row>
    <row r="73" spans="2:14" x14ac:dyDescent="0.25">
      <c r="B73" s="308" t="s">
        <v>450</v>
      </c>
      <c r="C73" s="308" t="s">
        <v>329</v>
      </c>
      <c r="D73" s="309">
        <v>45</v>
      </c>
      <c r="E73" s="309">
        <v>1</v>
      </c>
      <c r="F73" s="309">
        <v>45</v>
      </c>
      <c r="G73" s="309">
        <v>1</v>
      </c>
      <c r="H73" s="309">
        <v>45</v>
      </c>
      <c r="I73" s="309">
        <v>1</v>
      </c>
      <c r="J73" s="309">
        <v>45</v>
      </c>
      <c r="K73" s="309">
        <v>1</v>
      </c>
      <c r="L73" s="309">
        <v>45</v>
      </c>
    </row>
    <row r="74" spans="2:14" x14ac:dyDescent="0.25">
      <c r="B74" s="312" t="s">
        <v>451</v>
      </c>
      <c r="C74" s="312" t="s">
        <v>452</v>
      </c>
      <c r="D74" s="319">
        <v>2.2000000000000002</v>
      </c>
      <c r="E74" s="314">
        <v>2050</v>
      </c>
      <c r="F74" s="320">
        <v>4510</v>
      </c>
      <c r="G74" s="321"/>
      <c r="H74" s="321"/>
      <c r="I74" s="321"/>
      <c r="J74" s="321"/>
      <c r="K74" s="321"/>
      <c r="L74" s="321"/>
    </row>
    <row r="75" spans="2:14" x14ac:dyDescent="0.25">
      <c r="B75" s="316" t="s">
        <v>453</v>
      </c>
      <c r="C75" s="318"/>
      <c r="D75" s="318"/>
      <c r="E75" s="318"/>
      <c r="F75" s="318"/>
      <c r="G75" s="318"/>
      <c r="H75" s="318"/>
      <c r="I75" s="318"/>
      <c r="J75" s="318"/>
      <c r="K75" s="318"/>
      <c r="L75" s="318"/>
    </row>
    <row r="76" spans="2:14" x14ac:dyDescent="0.25">
      <c r="B76" s="304" t="s">
        <v>454</v>
      </c>
      <c r="C76" s="304" t="s">
        <v>455</v>
      </c>
      <c r="D76" s="305">
        <v>350</v>
      </c>
      <c r="E76" s="305">
        <v>2</v>
      </c>
      <c r="F76" s="305">
        <v>700</v>
      </c>
      <c r="G76" s="305">
        <v>1.5</v>
      </c>
      <c r="H76" s="305">
        <v>525</v>
      </c>
      <c r="I76" s="305">
        <v>1.5</v>
      </c>
      <c r="J76" s="305">
        <v>525</v>
      </c>
      <c r="K76" s="305">
        <v>1.5</v>
      </c>
      <c r="L76" s="305">
        <v>525</v>
      </c>
    </row>
    <row r="77" spans="2:14" x14ac:dyDescent="0.25">
      <c r="B77" s="308" t="s">
        <v>456</v>
      </c>
      <c r="C77" s="308" t="s">
        <v>457</v>
      </c>
      <c r="D77" s="309">
        <v>11</v>
      </c>
      <c r="E77" s="309">
        <v>167</v>
      </c>
      <c r="F77" s="317">
        <v>1837</v>
      </c>
      <c r="G77" s="309">
        <v>40</v>
      </c>
      <c r="H77" s="309">
        <v>440</v>
      </c>
      <c r="I77" s="309">
        <v>40</v>
      </c>
      <c r="J77" s="309">
        <v>440</v>
      </c>
      <c r="K77" s="309">
        <v>40</v>
      </c>
      <c r="L77" s="309">
        <v>440</v>
      </c>
    </row>
    <row r="78" spans="2:14" x14ac:dyDescent="0.25">
      <c r="B78" s="304" t="s">
        <v>458</v>
      </c>
      <c r="C78" s="304" t="s">
        <v>459</v>
      </c>
      <c r="D78" s="305">
        <v>150</v>
      </c>
      <c r="E78" s="305">
        <v>10</v>
      </c>
      <c r="F78" s="306">
        <v>1500</v>
      </c>
      <c r="G78" s="305">
        <v>5</v>
      </c>
      <c r="H78" s="305">
        <v>750</v>
      </c>
      <c r="I78" s="305">
        <v>5</v>
      </c>
      <c r="J78" s="305">
        <v>750</v>
      </c>
      <c r="K78" s="305">
        <v>5</v>
      </c>
      <c r="L78" s="305">
        <v>750</v>
      </c>
    </row>
    <row r="79" spans="2:14" x14ac:dyDescent="0.25">
      <c r="B79" s="312" t="s">
        <v>460</v>
      </c>
      <c r="C79" s="312" t="s">
        <v>410</v>
      </c>
      <c r="D79" s="313"/>
      <c r="E79" s="313"/>
      <c r="F79" s="314">
        <v>14546</v>
      </c>
      <c r="G79" s="313"/>
      <c r="H79" s="314">
        <v>7337</v>
      </c>
      <c r="I79" s="313"/>
      <c r="J79" s="314">
        <v>7337</v>
      </c>
      <c r="K79" s="313"/>
      <c r="L79" s="314">
        <v>6827</v>
      </c>
    </row>
    <row r="80" spans="2:14" x14ac:dyDescent="0.25">
      <c r="B80" s="682" t="s">
        <v>461</v>
      </c>
      <c r="C80" s="683"/>
      <c r="D80" s="683"/>
      <c r="E80" s="683"/>
      <c r="F80" s="683"/>
      <c r="G80" s="683"/>
      <c r="H80" s="683"/>
      <c r="I80" s="683"/>
      <c r="J80" s="683"/>
      <c r="K80" s="683"/>
      <c r="L80" s="683"/>
    </row>
    <row r="81" spans="2:12" x14ac:dyDescent="0.25">
      <c r="B81" s="308" t="s">
        <v>462</v>
      </c>
      <c r="C81" s="308" t="s">
        <v>58</v>
      </c>
      <c r="D81" s="309">
        <v>902.77</v>
      </c>
      <c r="E81" s="309">
        <v>1</v>
      </c>
      <c r="F81" s="309">
        <v>902.77</v>
      </c>
      <c r="G81" s="309">
        <v>1</v>
      </c>
      <c r="H81" s="309">
        <v>902.77</v>
      </c>
      <c r="I81" s="309">
        <v>1</v>
      </c>
      <c r="J81" s="309">
        <v>902.77</v>
      </c>
      <c r="K81" s="309">
        <v>1</v>
      </c>
      <c r="L81" s="309">
        <v>902.77</v>
      </c>
    </row>
    <row r="82" spans="2:12" x14ac:dyDescent="0.25">
      <c r="B82" s="304" t="s">
        <v>463</v>
      </c>
      <c r="C82" s="304" t="s">
        <v>58</v>
      </c>
      <c r="D82" s="305">
        <v>63.68</v>
      </c>
      <c r="E82" s="305">
        <v>1</v>
      </c>
      <c r="F82" s="305">
        <v>63.68</v>
      </c>
      <c r="G82" s="305">
        <v>1</v>
      </c>
      <c r="H82" s="305">
        <v>63.68</v>
      </c>
      <c r="I82" s="305">
        <v>1</v>
      </c>
      <c r="J82" s="305">
        <v>63.68</v>
      </c>
      <c r="K82" s="305">
        <v>1</v>
      </c>
      <c r="L82" s="305">
        <v>63.68</v>
      </c>
    </row>
    <row r="83" spans="2:12" x14ac:dyDescent="0.25">
      <c r="B83" s="308" t="s">
        <v>464</v>
      </c>
      <c r="C83" s="308" t="s">
        <v>58</v>
      </c>
      <c r="D83" s="309">
        <v>255.18</v>
      </c>
      <c r="E83" s="309">
        <v>1</v>
      </c>
      <c r="F83" s="309">
        <v>255.18</v>
      </c>
      <c r="G83" s="309">
        <v>1</v>
      </c>
      <c r="H83" s="309">
        <v>255.18</v>
      </c>
      <c r="I83" s="309">
        <v>1</v>
      </c>
      <c r="J83" s="309">
        <v>255.18</v>
      </c>
      <c r="K83" s="309">
        <v>1</v>
      </c>
      <c r="L83" s="309">
        <v>255.18</v>
      </c>
    </row>
    <row r="84" spans="2:12" x14ac:dyDescent="0.25">
      <c r="B84" s="304" t="s">
        <v>465</v>
      </c>
      <c r="C84" s="304" t="s">
        <v>58</v>
      </c>
      <c r="D84" s="305">
        <v>212.22</v>
      </c>
      <c r="E84" s="305">
        <v>1</v>
      </c>
      <c r="F84" s="305">
        <v>212.22</v>
      </c>
      <c r="G84" s="305">
        <v>1</v>
      </c>
      <c r="H84" s="305">
        <v>212.22</v>
      </c>
      <c r="I84" s="305">
        <v>1</v>
      </c>
      <c r="J84" s="305">
        <v>212.22</v>
      </c>
      <c r="K84" s="305">
        <v>1</v>
      </c>
      <c r="L84" s="305">
        <v>212.22</v>
      </c>
    </row>
    <row r="85" spans="2:12" x14ac:dyDescent="0.25">
      <c r="B85" s="308" t="s">
        <v>342</v>
      </c>
      <c r="C85" s="308" t="s">
        <v>58</v>
      </c>
      <c r="D85" s="309">
        <v>207.25</v>
      </c>
      <c r="E85" s="309">
        <v>1</v>
      </c>
      <c r="F85" s="309">
        <v>207.25</v>
      </c>
      <c r="G85" s="309">
        <v>1</v>
      </c>
      <c r="H85" s="309">
        <v>207.25</v>
      </c>
      <c r="I85" s="309">
        <v>1</v>
      </c>
      <c r="J85" s="309">
        <v>207.25</v>
      </c>
      <c r="K85" s="309">
        <v>1</v>
      </c>
      <c r="L85" s="309">
        <v>207.25</v>
      </c>
    </row>
    <row r="86" spans="2:12" x14ac:dyDescent="0.25">
      <c r="B86" s="304" t="s">
        <v>466</v>
      </c>
      <c r="C86" s="304" t="s">
        <v>58</v>
      </c>
      <c r="D86" s="305">
        <v>20.69</v>
      </c>
      <c r="E86" s="305">
        <v>1</v>
      </c>
      <c r="F86" s="305">
        <v>20.69</v>
      </c>
      <c r="G86" s="305">
        <v>1</v>
      </c>
      <c r="H86" s="305">
        <v>20.69</v>
      </c>
      <c r="I86" s="305">
        <v>1</v>
      </c>
      <c r="J86" s="305">
        <v>20.69</v>
      </c>
      <c r="K86" s="305">
        <v>1</v>
      </c>
      <c r="L86" s="305">
        <v>20.69</v>
      </c>
    </row>
    <row r="87" spans="2:12" x14ac:dyDescent="0.25">
      <c r="B87" s="308" t="s">
        <v>467</v>
      </c>
      <c r="C87" s="308" t="s">
        <v>468</v>
      </c>
      <c r="D87" s="322">
        <v>1.7999999999999999E-2</v>
      </c>
      <c r="E87" s="309">
        <v>1</v>
      </c>
      <c r="F87" s="309">
        <v>912.6</v>
      </c>
      <c r="G87" s="309">
        <v>1</v>
      </c>
      <c r="H87" s="317">
        <v>1064.7</v>
      </c>
      <c r="I87" s="309">
        <v>1</v>
      </c>
      <c r="J87" s="317">
        <v>1216.8</v>
      </c>
      <c r="K87" s="309">
        <v>1</v>
      </c>
      <c r="L87" s="317">
        <v>1368.9</v>
      </c>
    </row>
    <row r="88" spans="2:12" x14ac:dyDescent="0.25">
      <c r="B88" s="312" t="s">
        <v>469</v>
      </c>
      <c r="C88" s="312" t="s">
        <v>410</v>
      </c>
      <c r="D88" s="313"/>
      <c r="E88" s="313"/>
      <c r="F88" s="314">
        <v>2574</v>
      </c>
      <c r="G88" s="313"/>
      <c r="H88" s="314">
        <v>2726</v>
      </c>
      <c r="I88" s="313"/>
      <c r="J88" s="314">
        <v>2879</v>
      </c>
      <c r="K88" s="313"/>
      <c r="L88" s="314">
        <v>3031</v>
      </c>
    </row>
    <row r="89" spans="2:12" x14ac:dyDescent="0.25">
      <c r="B89" s="323" t="s">
        <v>470</v>
      </c>
      <c r="C89" s="323" t="s">
        <v>471</v>
      </c>
      <c r="D89" s="324"/>
      <c r="E89" s="324"/>
      <c r="F89" s="325">
        <v>25749</v>
      </c>
      <c r="G89" s="324"/>
      <c r="H89" s="325">
        <v>16206</v>
      </c>
      <c r="I89" s="324"/>
      <c r="J89" s="325">
        <v>16850</v>
      </c>
      <c r="K89" s="324"/>
      <c r="L89" s="325">
        <v>16427</v>
      </c>
    </row>
    <row r="90" spans="2:12" x14ac:dyDescent="0.25">
      <c r="B90" s="675" t="s">
        <v>472</v>
      </c>
      <c r="C90" s="675"/>
      <c r="D90" s="748">
        <v>470.05</v>
      </c>
      <c r="E90" s="748"/>
      <c r="F90" s="748"/>
      <c r="G90" s="748"/>
      <c r="H90" s="748"/>
      <c r="I90" s="748"/>
      <c r="J90" s="748"/>
      <c r="K90" s="748"/>
      <c r="L90" s="748"/>
    </row>
    <row r="91" spans="2:12" x14ac:dyDescent="0.25">
      <c r="B91" s="323" t="s">
        <v>473</v>
      </c>
      <c r="C91" s="323" t="s">
        <v>471</v>
      </c>
      <c r="D91" s="324"/>
      <c r="E91" s="324"/>
      <c r="F91" s="325">
        <v>50700</v>
      </c>
      <c r="G91" s="324"/>
      <c r="H91" s="325">
        <v>59150</v>
      </c>
      <c r="I91" s="324"/>
      <c r="J91" s="325">
        <v>67600</v>
      </c>
      <c r="K91" s="324"/>
      <c r="L91" s="325">
        <v>76050</v>
      </c>
    </row>
    <row r="92" spans="2:12" x14ac:dyDescent="0.25">
      <c r="B92" s="312" t="s">
        <v>474</v>
      </c>
      <c r="C92" s="312" t="s">
        <v>471</v>
      </c>
      <c r="D92" s="313"/>
      <c r="E92" s="313"/>
      <c r="F92" s="314">
        <v>24951</v>
      </c>
      <c r="G92" s="313"/>
      <c r="H92" s="314">
        <v>67894</v>
      </c>
      <c r="I92" s="313"/>
      <c r="J92" s="314">
        <v>118644</v>
      </c>
      <c r="K92" s="313"/>
      <c r="L92" s="314">
        <v>254318</v>
      </c>
    </row>
    <row r="93" spans="2:12" x14ac:dyDescent="0.25">
      <c r="B93" s="323" t="s">
        <v>475</v>
      </c>
      <c r="C93" s="323" t="s">
        <v>476</v>
      </c>
      <c r="D93" s="749">
        <v>1690</v>
      </c>
      <c r="E93" s="749"/>
      <c r="F93" s="749"/>
      <c r="G93" s="749"/>
      <c r="H93" s="749"/>
      <c r="I93" s="749"/>
      <c r="J93" s="749"/>
      <c r="K93" s="749"/>
      <c r="L93" s="749"/>
    </row>
    <row r="94" spans="2:12" x14ac:dyDescent="0.25">
      <c r="B94" s="312" t="s">
        <v>477</v>
      </c>
      <c r="C94" s="312" t="s">
        <v>476</v>
      </c>
      <c r="D94" s="750" t="s">
        <v>478</v>
      </c>
      <c r="E94" s="751"/>
      <c r="F94" s="751"/>
      <c r="G94" s="751"/>
      <c r="H94" s="751"/>
      <c r="I94" s="751"/>
      <c r="J94" s="751"/>
      <c r="K94" s="751"/>
      <c r="L94" s="752"/>
    </row>
    <row r="95" spans="2:12" ht="5.0999999999999996" customHeight="1" x14ac:dyDescent="0.25">
      <c r="B95" s="326"/>
      <c r="C95" s="326"/>
      <c r="D95" s="327"/>
      <c r="E95" s="327"/>
      <c r="F95" s="327"/>
      <c r="G95" s="327"/>
      <c r="H95" s="327"/>
      <c r="I95" s="327"/>
      <c r="J95" s="327"/>
      <c r="K95" s="327"/>
      <c r="L95" s="327"/>
    </row>
    <row r="96" spans="2:12" ht="16.5" customHeight="1" x14ac:dyDescent="0.25">
      <c r="B96" s="328" t="s">
        <v>479</v>
      </c>
      <c r="C96" s="328" t="s">
        <v>480</v>
      </c>
      <c r="D96" s="329"/>
      <c r="E96" s="328" t="s">
        <v>481</v>
      </c>
      <c r="F96" s="329"/>
      <c r="G96" s="329"/>
      <c r="H96" s="328" t="s">
        <v>482</v>
      </c>
      <c r="I96" s="329"/>
      <c r="J96" s="329"/>
      <c r="K96" s="329"/>
      <c r="L96" s="329"/>
    </row>
    <row r="97" spans="1:12" ht="16.5" customHeight="1" x14ac:dyDescent="0.25">
      <c r="B97" s="328" t="s">
        <v>483</v>
      </c>
      <c r="C97" s="326"/>
      <c r="D97" s="327"/>
      <c r="E97" s="327"/>
      <c r="F97" s="327"/>
      <c r="G97" s="327"/>
      <c r="H97" s="327"/>
      <c r="I97" s="327"/>
      <c r="J97" s="327"/>
      <c r="K97" s="327"/>
      <c r="L97" s="327"/>
    </row>
    <row r="98" spans="1:12" ht="16.5" customHeight="1" x14ac:dyDescent="0.25">
      <c r="B98" s="328" t="s">
        <v>484</v>
      </c>
      <c r="C98" s="326"/>
      <c r="D98" s="327"/>
      <c r="E98" s="327"/>
      <c r="F98" s="327"/>
      <c r="G98" s="327"/>
      <c r="H98" s="327"/>
      <c r="I98" s="327"/>
      <c r="J98" s="327"/>
      <c r="K98" s="327"/>
      <c r="L98" s="327"/>
    </row>
    <row r="99" spans="1:12" ht="16.5" customHeight="1" x14ac:dyDescent="0.25">
      <c r="B99" s="328" t="s">
        <v>485</v>
      </c>
      <c r="C99" s="326"/>
      <c r="D99" s="327"/>
      <c r="E99" s="327"/>
      <c r="F99" s="327"/>
      <c r="G99" s="327"/>
      <c r="H99" s="327"/>
      <c r="I99" s="327"/>
      <c r="J99" s="327"/>
      <c r="K99" s="327"/>
      <c r="L99" s="327"/>
    </row>
    <row r="100" spans="1:12" s="332" customFormat="1" ht="16.5" customHeight="1" x14ac:dyDescent="0.25">
      <c r="A100" s="330"/>
      <c r="B100" s="328" t="s">
        <v>486</v>
      </c>
      <c r="C100" s="331"/>
      <c r="D100" s="331"/>
      <c r="E100" s="331"/>
      <c r="F100" s="331"/>
      <c r="G100" s="331"/>
      <c r="H100" s="331"/>
      <c r="I100" s="331"/>
    </row>
    <row r="101" spans="1:12" s="332" customFormat="1" ht="16.5" customHeight="1" x14ac:dyDescent="0.25">
      <c r="A101" s="330"/>
      <c r="B101" s="328" t="s">
        <v>487</v>
      </c>
      <c r="C101" s="262"/>
      <c r="D101" s="331"/>
      <c r="E101" s="331"/>
      <c r="F101" s="331"/>
      <c r="G101" s="331"/>
      <c r="H101" s="331"/>
      <c r="I101" s="331"/>
      <c r="L101" s="428"/>
    </row>
    <row r="102" spans="1:12" ht="16.5" customHeight="1" x14ac:dyDescent="0.25">
      <c r="B102" s="262" t="s">
        <v>488</v>
      </c>
      <c r="C102" s="262"/>
      <c r="D102" s="262"/>
      <c r="E102" s="262"/>
      <c r="F102" s="262"/>
      <c r="G102" s="262"/>
      <c r="H102" s="262"/>
      <c r="I102" s="262"/>
      <c r="J102" s="262"/>
      <c r="K102" s="262"/>
      <c r="L102" s="428"/>
    </row>
    <row r="103" spans="1:12" ht="16.5" customHeight="1" x14ac:dyDescent="0.25">
      <c r="B103" s="262" t="s">
        <v>489</v>
      </c>
      <c r="C103" s="262"/>
      <c r="D103" s="262"/>
      <c r="E103" s="262"/>
      <c r="F103" s="262"/>
      <c r="G103" s="262"/>
      <c r="H103" s="262"/>
      <c r="I103" s="262"/>
      <c r="J103" s="262"/>
      <c r="K103" s="262"/>
      <c r="L103" s="428"/>
    </row>
    <row r="104" spans="1:12" ht="16.5" customHeight="1" x14ac:dyDescent="0.25">
      <c r="B104" s="333"/>
      <c r="C104" s="262"/>
      <c r="D104" s="262"/>
      <c r="E104" s="262"/>
      <c r="F104" s="262"/>
      <c r="G104" s="262"/>
      <c r="H104" s="262"/>
      <c r="I104" s="262"/>
      <c r="J104" s="262"/>
      <c r="K104" s="262"/>
      <c r="L104" s="428"/>
    </row>
    <row r="105" spans="1:12" ht="12.75" x14ac:dyDescent="0.25">
      <c r="B105" s="334" t="s">
        <v>369</v>
      </c>
      <c r="C105" s="334"/>
      <c r="D105" s="334"/>
      <c r="E105" s="334"/>
      <c r="F105" s="334"/>
      <c r="G105" s="334"/>
      <c r="H105" s="334"/>
      <c r="I105" s="334"/>
      <c r="J105" s="335"/>
      <c r="K105" s="335"/>
      <c r="L105" s="438"/>
    </row>
    <row r="108" spans="1:12" ht="12.75" x14ac:dyDescent="0.25">
      <c r="B108" s="432"/>
      <c r="C108" s="432"/>
      <c r="D108" s="262"/>
      <c r="E108" s="262"/>
      <c r="F108" s="262"/>
      <c r="G108" s="262"/>
      <c r="H108" s="262"/>
      <c r="I108" s="262"/>
      <c r="J108" s="262"/>
      <c r="K108" s="262"/>
      <c r="L108" s="262"/>
    </row>
    <row r="109" spans="1:12" ht="14.25" x14ac:dyDescent="0.25">
      <c r="B109" s="429" t="s">
        <v>260</v>
      </c>
      <c r="C109" s="430" t="s">
        <v>781</v>
      </c>
      <c r="D109" s="262"/>
      <c r="E109" s="262"/>
      <c r="F109" s="262"/>
      <c r="G109" s="262"/>
      <c r="H109" s="262"/>
      <c r="I109" s="262"/>
      <c r="J109" s="262"/>
      <c r="K109" s="262"/>
      <c r="L109" s="262"/>
    </row>
    <row r="110" spans="1:12" ht="14.25" x14ac:dyDescent="0.25">
      <c r="B110" s="433" t="s">
        <v>777</v>
      </c>
      <c r="C110" s="434">
        <f>F89-F87</f>
        <v>24836.400000000001</v>
      </c>
      <c r="D110" s="262"/>
      <c r="E110" s="262"/>
      <c r="F110" s="262"/>
      <c r="G110" s="262"/>
      <c r="H110" s="262"/>
      <c r="I110" s="262"/>
      <c r="J110" s="262"/>
      <c r="K110" s="262"/>
      <c r="L110" s="262"/>
    </row>
    <row r="111" spans="1:12" ht="14.25" x14ac:dyDescent="0.25">
      <c r="B111" s="429" t="s">
        <v>782</v>
      </c>
      <c r="C111" s="431">
        <f>'Sistema de Irrigação'!I17</f>
        <v>13000</v>
      </c>
      <c r="D111" s="262"/>
      <c r="E111" s="262"/>
      <c r="F111" s="262"/>
      <c r="G111" s="262"/>
      <c r="H111" s="262"/>
      <c r="I111" s="262"/>
      <c r="J111" s="262"/>
      <c r="K111" s="262"/>
      <c r="L111" s="262"/>
    </row>
    <row r="112" spans="1:12" ht="14.25" x14ac:dyDescent="0.25">
      <c r="B112" s="433" t="s">
        <v>780</v>
      </c>
      <c r="C112" s="434">
        <f>AVERAGE((H89-H87),(J89-J87),(L89-L87),(L89-L87))</f>
        <v>15222.674999999999</v>
      </c>
      <c r="D112" s="262"/>
      <c r="E112" s="262"/>
      <c r="F112" s="262"/>
      <c r="G112" s="262"/>
      <c r="H112" s="262"/>
      <c r="I112" s="262"/>
      <c r="J112" s="262"/>
      <c r="K112" s="262"/>
      <c r="L112" s="262"/>
    </row>
    <row r="113" spans="2:12" ht="14.25" x14ac:dyDescent="0.25">
      <c r="B113" s="429" t="s">
        <v>791</v>
      </c>
      <c r="C113" s="440">
        <f>AVERAGE(K11,K12,K13,K13)</f>
        <v>41.25</v>
      </c>
      <c r="D113" s="262"/>
      <c r="E113" s="262"/>
      <c r="F113" s="262"/>
      <c r="G113" s="262"/>
      <c r="H113" s="262"/>
      <c r="I113" s="262"/>
      <c r="J113" s="262"/>
      <c r="K113" s="262"/>
      <c r="L113" s="262"/>
    </row>
    <row r="114" spans="2:12" ht="14.25" x14ac:dyDescent="0.25">
      <c r="B114" s="433" t="s">
        <v>790</v>
      </c>
      <c r="C114" s="441">
        <f>C113/D13</f>
        <v>20.625</v>
      </c>
      <c r="D114" s="262"/>
      <c r="E114" s="262"/>
      <c r="F114" s="262"/>
      <c r="G114" s="262"/>
      <c r="H114" s="262"/>
      <c r="I114" s="262"/>
      <c r="J114" s="262"/>
      <c r="K114" s="262"/>
      <c r="L114" s="262"/>
    </row>
    <row r="115" spans="2:12" ht="14.25" x14ac:dyDescent="0.25">
      <c r="B115" s="429" t="s">
        <v>788</v>
      </c>
      <c r="C115" s="431">
        <f>D93</f>
        <v>1690</v>
      </c>
      <c r="D115" s="262"/>
      <c r="E115" s="262"/>
      <c r="F115" s="262"/>
      <c r="G115" s="262"/>
      <c r="H115" s="262"/>
      <c r="I115" s="262"/>
      <c r="J115" s="262"/>
      <c r="K115" s="262"/>
      <c r="L115" s="262"/>
    </row>
    <row r="116" spans="2:12" ht="14.25" x14ac:dyDescent="0.25">
      <c r="B116" s="433" t="s">
        <v>778</v>
      </c>
      <c r="C116" s="437">
        <v>4.0270000000000001</v>
      </c>
      <c r="D116" s="262"/>
      <c r="E116" s="262"/>
      <c r="F116" s="262"/>
      <c r="G116" s="262"/>
      <c r="H116" s="262"/>
      <c r="I116" s="262"/>
      <c r="J116" s="262"/>
      <c r="K116" s="262"/>
      <c r="L116" s="262"/>
    </row>
    <row r="117" spans="2:12" ht="14.25" x14ac:dyDescent="0.25">
      <c r="B117" s="429" t="s">
        <v>783</v>
      </c>
      <c r="C117" s="431">
        <f>F74+F44+F41+F28</f>
        <v>5002.5200000000004</v>
      </c>
      <c r="D117" s="262"/>
      <c r="E117" s="262"/>
      <c r="F117" s="262"/>
      <c r="G117" s="262"/>
      <c r="H117" s="262"/>
      <c r="I117" s="262"/>
      <c r="J117" s="262"/>
      <c r="K117" s="262"/>
      <c r="L117" s="262"/>
    </row>
    <row r="118" spans="2:12" ht="14.25" x14ac:dyDescent="0.25">
      <c r="B118" s="433" t="s">
        <v>784</v>
      </c>
      <c r="C118" s="437" t="s">
        <v>797</v>
      </c>
      <c r="D118" s="262"/>
      <c r="E118" s="262"/>
      <c r="F118" s="262"/>
      <c r="G118" s="262"/>
      <c r="H118" s="262"/>
      <c r="I118" s="262"/>
      <c r="J118" s="262"/>
      <c r="K118" s="262"/>
      <c r="L118" s="262"/>
    </row>
    <row r="119" spans="2:12" ht="14.25" x14ac:dyDescent="0.25">
      <c r="B119" s="429" t="s">
        <v>785</v>
      </c>
      <c r="C119" s="445">
        <v>0.33333333333333298</v>
      </c>
      <c r="D119" s="262"/>
      <c r="E119" s="262"/>
      <c r="F119" s="262"/>
      <c r="G119" s="262"/>
      <c r="H119" s="262"/>
      <c r="I119" s="262"/>
      <c r="J119" s="262"/>
      <c r="K119" s="262"/>
      <c r="L119" s="262"/>
    </row>
    <row r="120" spans="2:12" s="443" customFormat="1" ht="14.25" x14ac:dyDescent="0.25">
      <c r="B120" s="433" t="s">
        <v>798</v>
      </c>
      <c r="C120" s="437" t="s">
        <v>800</v>
      </c>
    </row>
    <row r="121" spans="2:12" x14ac:dyDescent="0.25">
      <c r="B121" s="429" t="s">
        <v>873</v>
      </c>
      <c r="C121" s="611">
        <f>C112/C113</f>
        <v>369.03454545454542</v>
      </c>
    </row>
  </sheetData>
  <mergeCells count="21">
    <mergeCell ref="N56:N66"/>
    <mergeCell ref="B60:L60"/>
    <mergeCell ref="B80:L80"/>
    <mergeCell ref="B8:L8"/>
    <mergeCell ref="B15:B17"/>
    <mergeCell ref="C15:C17"/>
    <mergeCell ref="D15:D17"/>
    <mergeCell ref="E15:F15"/>
    <mergeCell ref="G15:J15"/>
    <mergeCell ref="K15:L15"/>
    <mergeCell ref="E16:F16"/>
    <mergeCell ref="G16:H16"/>
    <mergeCell ref="I16:J16"/>
    <mergeCell ref="B90:C90"/>
    <mergeCell ref="D90:L90"/>
    <mergeCell ref="D93:L93"/>
    <mergeCell ref="D94:L94"/>
    <mergeCell ref="D13:E13"/>
    <mergeCell ref="K16:L16"/>
    <mergeCell ref="B18:L18"/>
    <mergeCell ref="B36:L36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3:P9"/>
  <sheetViews>
    <sheetView showGridLines="0" topLeftCell="A9" zoomScale="90" zoomScaleNormal="90" workbookViewId="0">
      <selection activeCell="A10" sqref="A10:XFD22"/>
    </sheetView>
  </sheetViews>
  <sheetFormatPr defaultRowHeight="15" x14ac:dyDescent="0.25"/>
  <cols>
    <col min="1" max="1" width="3.5703125" style="3" customWidth="1"/>
    <col min="2" max="2" width="8.5703125" style="3" customWidth="1"/>
    <col min="3" max="3" width="49.42578125" style="3" bestFit="1" customWidth="1"/>
    <col min="4" max="4" width="11.5703125" style="5" customWidth="1"/>
    <col min="5" max="5" width="12.7109375" style="5" bestFit="1" customWidth="1"/>
    <col min="6" max="6" width="12.7109375" style="6" bestFit="1" customWidth="1"/>
    <col min="7" max="7" width="14.42578125" style="6" customWidth="1"/>
    <col min="8" max="8" width="10.28515625" style="24" customWidth="1"/>
    <col min="9" max="9" width="19.85546875" style="4" customWidth="1"/>
    <col min="10" max="10" width="20.7109375" style="4" customWidth="1"/>
    <col min="11" max="11" width="39.42578125" style="4" bestFit="1" customWidth="1"/>
    <col min="12" max="12" width="48.7109375" style="3" customWidth="1"/>
    <col min="13" max="13" width="16.85546875" style="3" bestFit="1" customWidth="1"/>
    <col min="14" max="14" width="14.28515625" style="3" bestFit="1" customWidth="1"/>
    <col min="15" max="15" width="9.140625" style="3"/>
    <col min="16" max="16" width="18" style="3" bestFit="1" customWidth="1"/>
    <col min="17" max="16384" width="9.140625" style="3"/>
  </cols>
  <sheetData>
    <row r="3" spans="2:16" x14ac:dyDescent="0.25">
      <c r="B3" s="764" t="s">
        <v>9</v>
      </c>
      <c r="C3" s="764"/>
      <c r="D3" s="764"/>
      <c r="E3" s="764"/>
      <c r="F3" s="764"/>
      <c r="G3" s="764"/>
      <c r="H3" s="764"/>
      <c r="I3" s="764"/>
      <c r="J3" s="764"/>
      <c r="K3" s="764"/>
    </row>
    <row r="4" spans="2:16" ht="12.75" customHeight="1" x14ac:dyDescent="0.25"/>
    <row r="5" spans="2:16" x14ac:dyDescent="0.25">
      <c r="B5" s="10" t="s">
        <v>5</v>
      </c>
      <c r="C5" s="10" t="s">
        <v>11</v>
      </c>
      <c r="D5" s="11" t="s">
        <v>12</v>
      </c>
      <c r="E5" s="11"/>
      <c r="F5" s="12" t="s">
        <v>3</v>
      </c>
      <c r="G5" s="12" t="s">
        <v>16</v>
      </c>
      <c r="H5" s="25" t="s">
        <v>15</v>
      </c>
      <c r="I5" s="13" t="s">
        <v>13</v>
      </c>
      <c r="J5" s="13" t="s">
        <v>4</v>
      </c>
      <c r="K5" s="13" t="s">
        <v>10</v>
      </c>
    </row>
    <row r="6" spans="2:16" x14ac:dyDescent="0.25">
      <c r="B6" s="19" t="s">
        <v>0</v>
      </c>
      <c r="C6" s="19"/>
      <c r="D6" s="20"/>
      <c r="E6" s="20"/>
      <c r="F6" s="21"/>
      <c r="G6" s="21"/>
      <c r="H6" s="26"/>
      <c r="I6" s="22"/>
      <c r="J6" s="22"/>
      <c r="K6" s="22"/>
    </row>
    <row r="7" spans="2:16" x14ac:dyDescent="0.25">
      <c r="B7" s="15" t="s">
        <v>7</v>
      </c>
      <c r="C7" s="15" t="s">
        <v>24</v>
      </c>
      <c r="D7" s="16"/>
      <c r="E7" s="16"/>
      <c r="F7" s="17"/>
      <c r="G7" s="17"/>
      <c r="H7" s="27"/>
      <c r="I7" s="18"/>
      <c r="J7" s="18">
        <f>SUBTOTAL(9,J8:J9)</f>
        <v>22123.141040391543</v>
      </c>
      <c r="K7" s="18"/>
      <c r="M7" s="14"/>
      <c r="N7" s="14"/>
    </row>
    <row r="8" spans="2:16" ht="210" x14ac:dyDescent="0.25">
      <c r="B8" s="73" t="s">
        <v>8</v>
      </c>
      <c r="C8" s="73" t="s">
        <v>24</v>
      </c>
      <c r="D8" s="605" t="s">
        <v>58</v>
      </c>
      <c r="E8" s="605"/>
      <c r="F8" s="606">
        <v>1</v>
      </c>
      <c r="G8" s="606">
        <v>1.349361</v>
      </c>
      <c r="H8" s="607">
        <v>1</v>
      </c>
      <c r="I8" s="608">
        <f>((202629.6-45000-45753.75)*1000)/12201</f>
        <v>9169.4000491762963</v>
      </c>
      <c r="J8" s="609">
        <f>F8*G8*H8*I8</f>
        <v>12372.830819756577</v>
      </c>
      <c r="K8" s="610" t="s">
        <v>874</v>
      </c>
      <c r="L8" s="31"/>
      <c r="M8" s="14"/>
      <c r="P8" s="4"/>
    </row>
    <row r="9" spans="2:16" ht="63" customHeight="1" x14ac:dyDescent="0.25">
      <c r="B9" s="73" t="s">
        <v>73</v>
      </c>
      <c r="C9" s="73" t="s">
        <v>820</v>
      </c>
      <c r="D9" s="605" t="s">
        <v>58</v>
      </c>
      <c r="E9" s="605"/>
      <c r="F9" s="606">
        <v>1</v>
      </c>
      <c r="G9" s="606">
        <v>1</v>
      </c>
      <c r="H9" s="607">
        <v>1</v>
      </c>
      <c r="I9" s="608">
        <f>H9*'Sistema de Irrigação'!I9</f>
        <v>9750.3102206349686</v>
      </c>
      <c r="J9" s="609">
        <f>F9*G9*H9*I9</f>
        <v>9750.3102206349686</v>
      </c>
      <c r="K9" s="610" t="s">
        <v>875</v>
      </c>
      <c r="M9" s="14"/>
      <c r="P9" s="4"/>
    </row>
  </sheetData>
  <mergeCells count="1">
    <mergeCell ref="B3:K3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L24"/>
  <sheetViews>
    <sheetView showGridLines="0" workbookViewId="0">
      <selection activeCell="B15" sqref="B15"/>
    </sheetView>
  </sheetViews>
  <sheetFormatPr defaultRowHeight="15" x14ac:dyDescent="0.25"/>
  <cols>
    <col min="1" max="1" width="10.42578125" style="3" customWidth="1"/>
    <col min="2" max="2" width="9.140625" style="3"/>
    <col min="3" max="3" width="3.42578125" style="3" customWidth="1"/>
    <col min="4" max="4" width="19" style="3" bestFit="1" customWidth="1"/>
    <col min="5" max="5" width="9.28515625" style="3" customWidth="1"/>
    <col min="6" max="7" width="13" style="3" customWidth="1"/>
    <col min="8" max="8" width="6.42578125" style="3" bestFit="1" customWidth="1"/>
    <col min="9" max="9" width="13" style="3" customWidth="1"/>
    <col min="10" max="10" width="9.5703125" style="3" bestFit="1" customWidth="1"/>
    <col min="11" max="11" width="18.28515625" style="3" bestFit="1" customWidth="1"/>
    <col min="12" max="12" width="55.28515625" style="3" customWidth="1"/>
    <col min="13" max="16384" width="9.140625" style="3"/>
  </cols>
  <sheetData>
    <row r="2" spans="1:12" x14ac:dyDescent="0.25">
      <c r="A2" s="765" t="s">
        <v>811</v>
      </c>
      <c r="B2" s="765"/>
    </row>
    <row r="3" spans="1:12" x14ac:dyDescent="0.25">
      <c r="A3" s="450">
        <v>43160</v>
      </c>
      <c r="B3" s="3">
        <v>3.3041</v>
      </c>
    </row>
    <row r="4" spans="1:12" x14ac:dyDescent="0.25">
      <c r="A4" s="450">
        <v>43678</v>
      </c>
      <c r="B4" s="452">
        <v>4.0270000000000001</v>
      </c>
    </row>
    <row r="5" spans="1:12" x14ac:dyDescent="0.25">
      <c r="D5" s="103" t="s">
        <v>808</v>
      </c>
    </row>
    <row r="6" spans="1:12" ht="4.5" customHeight="1" x14ac:dyDescent="0.25"/>
    <row r="7" spans="1:12" x14ac:dyDescent="0.25">
      <c r="D7" s="447" t="s">
        <v>11</v>
      </c>
      <c r="E7" s="449" t="s">
        <v>809</v>
      </c>
      <c r="F7" s="448" t="s">
        <v>818</v>
      </c>
      <c r="G7" s="448" t="s">
        <v>812</v>
      </c>
      <c r="H7" s="448" t="s">
        <v>817</v>
      </c>
      <c r="I7" s="448" t="s">
        <v>818</v>
      </c>
      <c r="J7" s="448" t="s">
        <v>812</v>
      </c>
      <c r="K7" s="449" t="s">
        <v>68</v>
      </c>
      <c r="L7" s="449" t="s">
        <v>815</v>
      </c>
    </row>
    <row r="9" spans="1:12" x14ac:dyDescent="0.25">
      <c r="D9" s="454" t="s">
        <v>813</v>
      </c>
      <c r="E9" s="455"/>
      <c r="F9" s="455"/>
      <c r="G9" s="455"/>
      <c r="H9" s="455"/>
      <c r="I9" s="458">
        <f>AVERAGE(I10:I13)</f>
        <v>9750.3102206349686</v>
      </c>
      <c r="J9" s="455"/>
      <c r="K9" s="455"/>
      <c r="L9" s="456"/>
    </row>
    <row r="10" spans="1:12" x14ac:dyDescent="0.25">
      <c r="D10" s="3" t="s">
        <v>21</v>
      </c>
      <c r="E10" s="442" t="s">
        <v>58</v>
      </c>
      <c r="F10" s="14">
        <f>AVERAGE(6000,10000)</f>
        <v>8000</v>
      </c>
      <c r="G10" s="453">
        <v>43160</v>
      </c>
      <c r="H10" s="6">
        <f>$B$4/$B$3</f>
        <v>1.2187887775793711</v>
      </c>
      <c r="I10" s="6">
        <f>F10*H10</f>
        <v>9750.3102206349686</v>
      </c>
      <c r="J10" s="453">
        <v>43678</v>
      </c>
      <c r="K10" s="442" t="s">
        <v>814</v>
      </c>
      <c r="L10" s="766" t="s">
        <v>816</v>
      </c>
    </row>
    <row r="11" spans="1:12" x14ac:dyDescent="0.25">
      <c r="D11" s="3" t="s">
        <v>22</v>
      </c>
      <c r="E11" s="442" t="s">
        <v>58</v>
      </c>
      <c r="F11" s="14">
        <f t="shared" ref="F11:F13" si="0">AVERAGE(6000,10000)</f>
        <v>8000</v>
      </c>
      <c r="G11" s="453">
        <v>43160</v>
      </c>
      <c r="H11" s="6">
        <f>$B$4/$B$3</f>
        <v>1.2187887775793711</v>
      </c>
      <c r="I11" s="6">
        <f t="shared" ref="I11:I13" si="1">F11*H11</f>
        <v>9750.3102206349686</v>
      </c>
      <c r="J11" s="453">
        <v>43678</v>
      </c>
      <c r="K11" s="442" t="s">
        <v>814</v>
      </c>
      <c r="L11" s="767"/>
    </row>
    <row r="12" spans="1:12" x14ac:dyDescent="0.25">
      <c r="D12" s="3" t="s">
        <v>107</v>
      </c>
      <c r="E12" s="442" t="s">
        <v>58</v>
      </c>
      <c r="F12" s="14">
        <f t="shared" si="0"/>
        <v>8000</v>
      </c>
      <c r="G12" s="453">
        <v>43160</v>
      </c>
      <c r="H12" s="6">
        <f>$B$4/$B$3</f>
        <v>1.2187887775793711</v>
      </c>
      <c r="I12" s="6">
        <f t="shared" si="1"/>
        <v>9750.3102206349686</v>
      </c>
      <c r="J12" s="453">
        <v>43678</v>
      </c>
      <c r="K12" s="442" t="s">
        <v>814</v>
      </c>
      <c r="L12" s="767"/>
    </row>
    <row r="13" spans="1:12" x14ac:dyDescent="0.25">
      <c r="D13" s="3" t="s">
        <v>23</v>
      </c>
      <c r="E13" s="442" t="s">
        <v>58</v>
      </c>
      <c r="F13" s="14">
        <f t="shared" si="0"/>
        <v>8000</v>
      </c>
      <c r="G13" s="453">
        <v>43160</v>
      </c>
      <c r="H13" s="6">
        <f>$B$4/$B$3</f>
        <v>1.2187887775793711</v>
      </c>
      <c r="I13" s="6">
        <f t="shared" si="1"/>
        <v>9750.3102206349686</v>
      </c>
      <c r="J13" s="453">
        <v>43678</v>
      </c>
      <c r="K13" s="442" t="s">
        <v>814</v>
      </c>
      <c r="L13" s="767"/>
    </row>
    <row r="15" spans="1:12" x14ac:dyDescent="0.25">
      <c r="D15" s="454" t="s">
        <v>819</v>
      </c>
      <c r="E15" s="455"/>
      <c r="F15" s="455"/>
      <c r="G15" s="455"/>
      <c r="H15" s="455"/>
      <c r="I15" s="458">
        <f>AVERAGE(I16:I16)</f>
        <v>28000</v>
      </c>
      <c r="J15" s="455"/>
      <c r="K15" s="455"/>
      <c r="L15" s="456"/>
    </row>
    <row r="16" spans="1:12" ht="31.5" customHeight="1" x14ac:dyDescent="0.25">
      <c r="D16" s="3" t="s">
        <v>193</v>
      </c>
      <c r="E16" s="442" t="s">
        <v>58</v>
      </c>
      <c r="F16" s="14"/>
      <c r="G16" s="453"/>
      <c r="H16" s="6"/>
      <c r="I16" s="6">
        <v>28000</v>
      </c>
      <c r="J16" s="453">
        <v>44105</v>
      </c>
      <c r="K16" s="442" t="s">
        <v>822</v>
      </c>
      <c r="L16" s="457" t="s">
        <v>823</v>
      </c>
    </row>
    <row r="17" spans="4:12" ht="33" customHeight="1" x14ac:dyDescent="0.25">
      <c r="D17" s="3" t="s">
        <v>204</v>
      </c>
      <c r="E17" s="442" t="s">
        <v>58</v>
      </c>
      <c r="F17" s="14"/>
      <c r="G17" s="453"/>
      <c r="H17" s="6"/>
      <c r="I17" s="6">
        <v>13000</v>
      </c>
      <c r="J17" s="453">
        <v>44105</v>
      </c>
      <c r="K17" s="442" t="s">
        <v>810</v>
      </c>
      <c r="L17" s="459" t="s">
        <v>821</v>
      </c>
    </row>
    <row r="23" spans="4:12" x14ac:dyDescent="0.25">
      <c r="J23" s="14"/>
      <c r="K23" s="14"/>
      <c r="L23" s="451"/>
    </row>
    <row r="24" spans="4:12" x14ac:dyDescent="0.25">
      <c r="J24" s="14"/>
      <c r="K24" s="14"/>
      <c r="L24" s="14"/>
    </row>
  </sheetData>
  <mergeCells count="2">
    <mergeCell ref="A2:B2"/>
    <mergeCell ref="L10:L13"/>
  </mergeCells>
  <hyperlinks>
    <hyperlink ref="L10" display="https://www.agrolink.com.br/noticias/irrigacao--como-escolher-o-melhor-sistema-para-irrigar-lavouras-de-graos-_405055.html#:~:text=O%20investimento%20pode%20variar%20entre,e%20a%20topografia%20da%20regi%C3%A3o.&amp;text=Uma%20das%20vantagens%20da%20tecnologia" xr:uid="{00000000-0004-0000-1C00-000000000000}"/>
    <hyperlink ref="L16" r:id="rId1" display="francisco.fontes@rivulis.com" xr:uid="{00000000-0004-0000-1C00-000001000000}"/>
  </hyperlinks>
  <pageMargins left="0.511811024" right="0.511811024" top="0.78740157499999996" bottom="0.78740157499999996" header="0.31496062000000002" footer="0.31496062000000002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N38"/>
  <sheetViews>
    <sheetView showGridLines="0" workbookViewId="0"/>
  </sheetViews>
  <sheetFormatPr defaultRowHeight="12.75" x14ac:dyDescent="0.2"/>
  <cols>
    <col min="1" max="1" width="2.140625" style="143" customWidth="1"/>
    <col min="2" max="2" width="60" style="143" bestFit="1" customWidth="1"/>
    <col min="3" max="3" width="14.28515625" style="143" bestFit="1" customWidth="1"/>
    <col min="4" max="5" width="12.28515625" style="143" customWidth="1"/>
    <col min="6" max="40" width="10.7109375" style="143" customWidth="1"/>
    <col min="41" max="16384" width="9.140625" style="143"/>
  </cols>
  <sheetData>
    <row r="4" spans="1:40" ht="6" customHeight="1" x14ac:dyDescent="0.2"/>
    <row r="5" spans="1:40" s="468" customFormat="1" ht="18.75" x14ac:dyDescent="0.3">
      <c r="A5" s="143"/>
      <c r="B5" s="467" t="s">
        <v>837</v>
      </c>
      <c r="C5" s="467"/>
      <c r="D5" s="467"/>
      <c r="E5" s="467"/>
      <c r="F5" s="467"/>
      <c r="G5" s="467"/>
      <c r="H5" s="467"/>
      <c r="I5" s="467"/>
      <c r="J5" s="467"/>
      <c r="K5" s="467"/>
      <c r="L5" s="467"/>
      <c r="M5" s="467"/>
      <c r="N5" s="467"/>
    </row>
    <row r="6" spans="1:40" ht="3.75" customHeight="1" thickBot="1" x14ac:dyDescent="0.25">
      <c r="B6" s="67"/>
      <c r="C6" s="67"/>
      <c r="D6" s="67"/>
      <c r="E6" s="67"/>
      <c r="F6" s="67"/>
      <c r="G6" s="67"/>
      <c r="H6" s="67"/>
      <c r="I6" s="67"/>
      <c r="J6" s="70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</row>
    <row r="7" spans="1:40" ht="6" customHeight="1" thickTop="1" x14ac:dyDescent="0.2">
      <c r="B7" s="460"/>
      <c r="C7" s="3"/>
      <c r="D7" s="4"/>
      <c r="E7" s="57"/>
      <c r="F7" s="29"/>
      <c r="G7" s="29"/>
      <c r="H7" s="29"/>
      <c r="I7" s="29"/>
      <c r="J7" s="29"/>
      <c r="K7" s="29"/>
      <c r="L7" s="29"/>
      <c r="M7" s="29"/>
      <c r="N7" s="29"/>
    </row>
    <row r="8" spans="1:40" ht="15" x14ac:dyDescent="0.2">
      <c r="B8" s="103" t="s">
        <v>829</v>
      </c>
      <c r="C8" s="10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0" ht="15" x14ac:dyDescent="0.2">
      <c r="B9" s="103" t="s">
        <v>839</v>
      </c>
    </row>
    <row r="10" spans="1:40" ht="5.25" customHeight="1" x14ac:dyDescent="0.2"/>
    <row r="11" spans="1:40" x14ac:dyDescent="0.2">
      <c r="B11" s="150" t="s">
        <v>5</v>
      </c>
      <c r="C11" s="151" t="s">
        <v>227</v>
      </c>
      <c r="D11" s="151" t="s">
        <v>228</v>
      </c>
      <c r="E11" s="151" t="s">
        <v>59</v>
      </c>
      <c r="F11" s="151">
        <v>1</v>
      </c>
      <c r="G11" s="151">
        <v>2</v>
      </c>
      <c r="H11" s="151">
        <v>3</v>
      </c>
      <c r="I11" s="151">
        <v>4</v>
      </c>
      <c r="J11" s="151">
        <v>5</v>
      </c>
      <c r="K11" s="151">
        <v>6</v>
      </c>
      <c r="L11" s="151">
        <v>7</v>
      </c>
      <c r="M11" s="151">
        <v>8</v>
      </c>
      <c r="N11" s="151">
        <v>9</v>
      </c>
      <c r="O11" s="151">
        <v>10</v>
      </c>
      <c r="P11" s="151">
        <v>11</v>
      </c>
      <c r="Q11" s="151">
        <v>12</v>
      </c>
      <c r="R11" s="151">
        <v>13</v>
      </c>
      <c r="S11" s="151">
        <v>14</v>
      </c>
      <c r="T11" s="151">
        <v>15</v>
      </c>
      <c r="U11" s="151">
        <v>16</v>
      </c>
      <c r="V11" s="151">
        <v>17</v>
      </c>
      <c r="W11" s="151">
        <v>18</v>
      </c>
      <c r="X11" s="151">
        <v>19</v>
      </c>
      <c r="Y11" s="151">
        <v>20</v>
      </c>
      <c r="Z11" s="151">
        <v>21</v>
      </c>
      <c r="AA11" s="151">
        <v>22</v>
      </c>
      <c r="AB11" s="151">
        <v>23</v>
      </c>
      <c r="AC11" s="151">
        <v>24</v>
      </c>
      <c r="AD11" s="151">
        <v>25</v>
      </c>
      <c r="AE11" s="151">
        <v>26</v>
      </c>
      <c r="AF11" s="151">
        <v>27</v>
      </c>
      <c r="AG11" s="151">
        <v>28</v>
      </c>
      <c r="AH11" s="151">
        <v>29</v>
      </c>
      <c r="AI11" s="151">
        <v>30</v>
      </c>
      <c r="AJ11" s="151">
        <v>31</v>
      </c>
      <c r="AK11" s="151">
        <v>32</v>
      </c>
      <c r="AL11" s="151">
        <v>33</v>
      </c>
      <c r="AM11" s="151">
        <v>34</v>
      </c>
      <c r="AN11" s="151">
        <v>35</v>
      </c>
    </row>
    <row r="12" spans="1:40" x14ac:dyDescent="0.2">
      <c r="B12" s="236" t="s">
        <v>229</v>
      </c>
      <c r="C12" s="236"/>
      <c r="D12" s="236"/>
      <c r="E12" s="237">
        <f>SUM(F12:AN12)</f>
        <v>2357176.25</v>
      </c>
      <c r="F12" s="237">
        <f t="shared" ref="F12:AN12" si="0">SUM(F13:F15)</f>
        <v>2357176.25</v>
      </c>
      <c r="G12" s="237">
        <f t="shared" si="0"/>
        <v>0</v>
      </c>
      <c r="H12" s="237">
        <f t="shared" si="0"/>
        <v>0</v>
      </c>
      <c r="I12" s="237">
        <f t="shared" si="0"/>
        <v>0</v>
      </c>
      <c r="J12" s="237">
        <f t="shared" si="0"/>
        <v>0</v>
      </c>
      <c r="K12" s="237">
        <f t="shared" si="0"/>
        <v>0</v>
      </c>
      <c r="L12" s="237">
        <f t="shared" si="0"/>
        <v>0</v>
      </c>
      <c r="M12" s="237">
        <f t="shared" si="0"/>
        <v>0</v>
      </c>
      <c r="N12" s="237">
        <f t="shared" si="0"/>
        <v>0</v>
      </c>
      <c r="O12" s="237">
        <f t="shared" si="0"/>
        <v>0</v>
      </c>
      <c r="P12" s="237">
        <f t="shared" si="0"/>
        <v>0</v>
      </c>
      <c r="Q12" s="237">
        <f t="shared" si="0"/>
        <v>0</v>
      </c>
      <c r="R12" s="237">
        <f t="shared" si="0"/>
        <v>0</v>
      </c>
      <c r="S12" s="237">
        <f t="shared" si="0"/>
        <v>0</v>
      </c>
      <c r="T12" s="237">
        <f t="shared" si="0"/>
        <v>0</v>
      </c>
      <c r="U12" s="237">
        <f t="shared" si="0"/>
        <v>0</v>
      </c>
      <c r="V12" s="237">
        <f t="shared" si="0"/>
        <v>0</v>
      </c>
      <c r="W12" s="237">
        <f t="shared" si="0"/>
        <v>0</v>
      </c>
      <c r="X12" s="237">
        <f t="shared" si="0"/>
        <v>0</v>
      </c>
      <c r="Y12" s="237">
        <f t="shared" si="0"/>
        <v>0</v>
      </c>
      <c r="Z12" s="237">
        <f t="shared" si="0"/>
        <v>0</v>
      </c>
      <c r="AA12" s="237">
        <f t="shared" si="0"/>
        <v>0</v>
      </c>
      <c r="AB12" s="237">
        <f t="shared" si="0"/>
        <v>0</v>
      </c>
      <c r="AC12" s="237">
        <f t="shared" si="0"/>
        <v>0</v>
      </c>
      <c r="AD12" s="237">
        <f t="shared" si="0"/>
        <v>0</v>
      </c>
      <c r="AE12" s="237">
        <f t="shared" si="0"/>
        <v>0</v>
      </c>
      <c r="AF12" s="237">
        <f t="shared" si="0"/>
        <v>0</v>
      </c>
      <c r="AG12" s="237">
        <f t="shared" si="0"/>
        <v>0</v>
      </c>
      <c r="AH12" s="237">
        <f t="shared" si="0"/>
        <v>0</v>
      </c>
      <c r="AI12" s="237">
        <f t="shared" si="0"/>
        <v>0</v>
      </c>
      <c r="AJ12" s="237">
        <f t="shared" si="0"/>
        <v>0</v>
      </c>
      <c r="AK12" s="237">
        <f t="shared" si="0"/>
        <v>0</v>
      </c>
      <c r="AL12" s="237">
        <f t="shared" si="0"/>
        <v>0</v>
      </c>
      <c r="AM12" s="237">
        <f t="shared" si="0"/>
        <v>0</v>
      </c>
      <c r="AN12" s="237">
        <f t="shared" si="0"/>
        <v>0</v>
      </c>
    </row>
    <row r="13" spans="1:40" x14ac:dyDescent="0.2">
      <c r="B13" s="144" t="s">
        <v>230</v>
      </c>
      <c r="C13" s="238" t="s">
        <v>231</v>
      </c>
      <c r="D13" s="238" t="s">
        <v>232</v>
      </c>
      <c r="E13" s="239">
        <f t="shared" ref="E13:E35" si="1">SUM(F13:AN13)</f>
        <v>0</v>
      </c>
      <c r="F13" s="235">
        <v>0</v>
      </c>
    </row>
    <row r="14" spans="1:40" x14ac:dyDescent="0.2">
      <c r="B14" s="144" t="s">
        <v>233</v>
      </c>
      <c r="C14" s="238" t="s">
        <v>234</v>
      </c>
      <c r="D14" s="238" t="s">
        <v>232</v>
      </c>
      <c r="E14" s="239">
        <f t="shared" si="1"/>
        <v>2327176.25</v>
      </c>
      <c r="F14" s="235">
        <v>2327176.25</v>
      </c>
    </row>
    <row r="15" spans="1:40" x14ac:dyDescent="0.2">
      <c r="B15" s="144" t="s">
        <v>235</v>
      </c>
      <c r="C15" s="238" t="s">
        <v>234</v>
      </c>
      <c r="D15" s="238" t="s">
        <v>232</v>
      </c>
      <c r="E15" s="239">
        <f t="shared" si="1"/>
        <v>30000</v>
      </c>
      <c r="F15" s="235">
        <v>30000</v>
      </c>
    </row>
    <row r="16" spans="1:40" x14ac:dyDescent="0.2">
      <c r="B16" s="236" t="s">
        <v>236</v>
      </c>
      <c r="C16" s="238"/>
      <c r="D16" s="238"/>
      <c r="E16" s="237">
        <f t="shared" si="1"/>
        <v>36740.386846081208</v>
      </c>
      <c r="F16" s="237">
        <f>SUM(F17:F21)</f>
        <v>21159.63</v>
      </c>
      <c r="G16" s="237">
        <f t="shared" ref="G16:AN16" si="2">SUM(G17:G21)</f>
        <v>0</v>
      </c>
      <c r="H16" s="237">
        <f t="shared" si="2"/>
        <v>0</v>
      </c>
      <c r="I16" s="237">
        <f t="shared" si="2"/>
        <v>0</v>
      </c>
      <c r="J16" s="237">
        <f t="shared" si="2"/>
        <v>0</v>
      </c>
      <c r="K16" s="237">
        <f t="shared" si="2"/>
        <v>2915.9620333648099</v>
      </c>
      <c r="L16" s="237">
        <f t="shared" si="2"/>
        <v>0</v>
      </c>
      <c r="M16" s="237">
        <f t="shared" si="2"/>
        <v>0</v>
      </c>
      <c r="N16" s="237">
        <f t="shared" si="2"/>
        <v>0</v>
      </c>
      <c r="O16" s="237">
        <f t="shared" si="2"/>
        <v>0</v>
      </c>
      <c r="P16" s="237">
        <f t="shared" si="2"/>
        <v>0</v>
      </c>
      <c r="Q16" s="237">
        <f t="shared" si="2"/>
        <v>3166.1987031791</v>
      </c>
      <c r="R16" s="237">
        <f t="shared" si="2"/>
        <v>0</v>
      </c>
      <c r="S16" s="237">
        <f t="shared" si="2"/>
        <v>0</v>
      </c>
      <c r="T16" s="237">
        <f t="shared" si="2"/>
        <v>0</v>
      </c>
      <c r="U16" s="237">
        <f t="shared" si="2"/>
        <v>0</v>
      </c>
      <c r="V16" s="237">
        <f t="shared" si="2"/>
        <v>0</v>
      </c>
      <c r="W16" s="237">
        <f t="shared" si="2"/>
        <v>3166.1987031791</v>
      </c>
      <c r="X16" s="237">
        <f t="shared" si="2"/>
        <v>0</v>
      </c>
      <c r="Y16" s="237">
        <f t="shared" si="2"/>
        <v>0</v>
      </c>
      <c r="Z16" s="237">
        <f t="shared" si="2"/>
        <v>0</v>
      </c>
      <c r="AA16" s="237">
        <f t="shared" si="2"/>
        <v>0</v>
      </c>
      <c r="AB16" s="237">
        <f t="shared" si="2"/>
        <v>0</v>
      </c>
      <c r="AC16" s="237">
        <f t="shared" si="2"/>
        <v>3166.1987031791</v>
      </c>
      <c r="AD16" s="237">
        <f t="shared" si="2"/>
        <v>0</v>
      </c>
      <c r="AE16" s="237">
        <f t="shared" si="2"/>
        <v>0</v>
      </c>
      <c r="AF16" s="237">
        <f t="shared" si="2"/>
        <v>0</v>
      </c>
      <c r="AG16" s="237">
        <f t="shared" si="2"/>
        <v>0</v>
      </c>
      <c r="AH16" s="237">
        <f t="shared" si="2"/>
        <v>0</v>
      </c>
      <c r="AI16" s="237">
        <f t="shared" si="2"/>
        <v>3166.1987031791</v>
      </c>
      <c r="AJ16" s="237">
        <f t="shared" si="2"/>
        <v>0</v>
      </c>
      <c r="AK16" s="237">
        <f t="shared" si="2"/>
        <v>0</v>
      </c>
      <c r="AL16" s="237">
        <f t="shared" si="2"/>
        <v>0</v>
      </c>
      <c r="AM16" s="237">
        <f t="shared" si="2"/>
        <v>0</v>
      </c>
      <c r="AN16" s="237">
        <f t="shared" si="2"/>
        <v>0</v>
      </c>
    </row>
    <row r="17" spans="2:40" x14ac:dyDescent="0.2">
      <c r="B17" s="144" t="s">
        <v>237</v>
      </c>
      <c r="C17" s="238" t="s">
        <v>231</v>
      </c>
      <c r="D17" s="238" t="s">
        <v>232</v>
      </c>
      <c r="E17" s="239">
        <f t="shared" si="1"/>
        <v>18000</v>
      </c>
      <c r="F17" s="235">
        <v>18000</v>
      </c>
    </row>
    <row r="18" spans="2:40" x14ac:dyDescent="0.2">
      <c r="B18" s="144" t="s">
        <v>238</v>
      </c>
      <c r="C18" s="238" t="s">
        <v>231</v>
      </c>
      <c r="D18" s="238" t="s">
        <v>232</v>
      </c>
      <c r="E18" s="239">
        <f t="shared" si="1"/>
        <v>250</v>
      </c>
      <c r="F18" s="235">
        <v>250</v>
      </c>
    </row>
    <row r="19" spans="2:40" x14ac:dyDescent="0.2">
      <c r="B19" s="144" t="s">
        <v>239</v>
      </c>
      <c r="C19" s="238" t="s">
        <v>240</v>
      </c>
      <c r="D19" s="238" t="s">
        <v>232</v>
      </c>
      <c r="E19" s="239">
        <f t="shared" si="1"/>
        <v>2909.63</v>
      </c>
      <c r="F19" s="235">
        <v>2909.63</v>
      </c>
    </row>
    <row r="20" spans="2:40" x14ac:dyDescent="0.2">
      <c r="B20" s="144" t="s">
        <v>241</v>
      </c>
      <c r="C20" s="238" t="s">
        <v>231</v>
      </c>
      <c r="D20" s="238" t="s">
        <v>242</v>
      </c>
      <c r="E20" s="239">
        <f t="shared" si="1"/>
        <v>1250</v>
      </c>
      <c r="F20" s="235">
        <v>0</v>
      </c>
      <c r="G20" s="235"/>
      <c r="H20" s="235"/>
      <c r="I20" s="235"/>
      <c r="J20" s="235"/>
      <c r="K20" s="235">
        <v>250</v>
      </c>
      <c r="L20" s="235"/>
      <c r="M20" s="235"/>
      <c r="N20" s="235"/>
      <c r="O20" s="235"/>
      <c r="P20" s="235"/>
      <c r="Q20" s="235">
        <v>250</v>
      </c>
      <c r="R20" s="235"/>
      <c r="S20" s="235"/>
      <c r="T20" s="235"/>
      <c r="U20" s="235"/>
      <c r="V20" s="235"/>
      <c r="W20" s="235">
        <v>250</v>
      </c>
      <c r="X20" s="235"/>
      <c r="Y20" s="235"/>
      <c r="Z20" s="235"/>
      <c r="AA20" s="235"/>
      <c r="AB20" s="235"/>
      <c r="AC20" s="235">
        <v>250</v>
      </c>
      <c r="AD20" s="235"/>
      <c r="AE20" s="235"/>
      <c r="AF20" s="235"/>
      <c r="AG20" s="235"/>
      <c r="AH20" s="235"/>
      <c r="AI20" s="235">
        <v>250</v>
      </c>
    </row>
    <row r="21" spans="2:40" x14ac:dyDescent="0.2">
      <c r="B21" s="144" t="s">
        <v>243</v>
      </c>
      <c r="C21" s="238" t="s">
        <v>240</v>
      </c>
      <c r="D21" s="238" t="s">
        <v>242</v>
      </c>
      <c r="E21" s="239">
        <f t="shared" si="1"/>
        <v>14330.756846081209</v>
      </c>
      <c r="F21" s="235">
        <v>0</v>
      </c>
      <c r="K21" s="239">
        <v>2665.9620333648099</v>
      </c>
      <c r="Q21" s="239">
        <v>2916.1987031791</v>
      </c>
      <c r="W21" s="239">
        <v>2916.1987031791</v>
      </c>
      <c r="AC21" s="239">
        <v>2916.1987031791</v>
      </c>
      <c r="AI21" s="239">
        <v>2916.1987031791</v>
      </c>
    </row>
    <row r="22" spans="2:40" x14ac:dyDescent="0.2">
      <c r="B22" s="236" t="s">
        <v>244</v>
      </c>
      <c r="C22" s="238"/>
      <c r="D22" s="238"/>
      <c r="E22" s="237">
        <f t="shared" si="1"/>
        <v>5077353.0007700659</v>
      </c>
      <c r="F22" s="237">
        <f>SUM(F23:F30)</f>
        <v>93900.678885000001</v>
      </c>
      <c r="G22" s="237">
        <f t="shared" ref="G22:AN22" si="3">SUM(G23:G30)</f>
        <v>405</v>
      </c>
      <c r="H22" s="237">
        <f t="shared" si="3"/>
        <v>410617.96293123765</v>
      </c>
      <c r="I22" s="237">
        <f t="shared" si="3"/>
        <v>1478649.9114639198</v>
      </c>
      <c r="J22" s="237">
        <f t="shared" si="3"/>
        <v>1123947.2254199681</v>
      </c>
      <c r="K22" s="237">
        <f t="shared" si="3"/>
        <v>1501932.2688194765</v>
      </c>
      <c r="L22" s="237">
        <f t="shared" si="3"/>
        <v>467899.9532504644</v>
      </c>
      <c r="M22" s="237">
        <f t="shared" si="3"/>
        <v>0</v>
      </c>
      <c r="N22" s="237">
        <f t="shared" si="3"/>
        <v>0</v>
      </c>
      <c r="O22" s="237">
        <f t="shared" si="3"/>
        <v>0</v>
      </c>
      <c r="P22" s="237">
        <f t="shared" si="3"/>
        <v>0</v>
      </c>
      <c r="Q22" s="237">
        <f t="shared" si="3"/>
        <v>0</v>
      </c>
      <c r="R22" s="237">
        <f t="shared" si="3"/>
        <v>0</v>
      </c>
      <c r="S22" s="237">
        <f t="shared" si="3"/>
        <v>0</v>
      </c>
      <c r="T22" s="237">
        <f t="shared" si="3"/>
        <v>0</v>
      </c>
      <c r="U22" s="237">
        <f t="shared" si="3"/>
        <v>0</v>
      </c>
      <c r="V22" s="237">
        <f t="shared" si="3"/>
        <v>0</v>
      </c>
      <c r="W22" s="237">
        <f t="shared" si="3"/>
        <v>0</v>
      </c>
      <c r="X22" s="237">
        <f t="shared" si="3"/>
        <v>0</v>
      </c>
      <c r="Y22" s="237">
        <f t="shared" si="3"/>
        <v>0</v>
      </c>
      <c r="Z22" s="237">
        <f t="shared" si="3"/>
        <v>0</v>
      </c>
      <c r="AA22" s="237">
        <f t="shared" si="3"/>
        <v>0</v>
      </c>
      <c r="AB22" s="237">
        <f t="shared" si="3"/>
        <v>0</v>
      </c>
      <c r="AC22" s="237">
        <f t="shared" si="3"/>
        <v>0</v>
      </c>
      <c r="AD22" s="237">
        <f t="shared" si="3"/>
        <v>0</v>
      </c>
      <c r="AE22" s="237">
        <f t="shared" si="3"/>
        <v>0</v>
      </c>
      <c r="AF22" s="237">
        <f t="shared" si="3"/>
        <v>0</v>
      </c>
      <c r="AG22" s="237">
        <f t="shared" si="3"/>
        <v>0</v>
      </c>
      <c r="AH22" s="237">
        <f t="shared" si="3"/>
        <v>0</v>
      </c>
      <c r="AI22" s="237">
        <f t="shared" si="3"/>
        <v>0</v>
      </c>
      <c r="AJ22" s="237">
        <f t="shared" si="3"/>
        <v>0</v>
      </c>
      <c r="AK22" s="237">
        <f t="shared" si="3"/>
        <v>0</v>
      </c>
      <c r="AL22" s="237">
        <f t="shared" si="3"/>
        <v>0</v>
      </c>
      <c r="AM22" s="237">
        <f t="shared" si="3"/>
        <v>0</v>
      </c>
      <c r="AN22" s="237">
        <f t="shared" si="3"/>
        <v>0</v>
      </c>
    </row>
    <row r="23" spans="2:40" x14ac:dyDescent="0.2">
      <c r="B23" s="144" t="s">
        <v>245</v>
      </c>
      <c r="C23" s="238" t="s">
        <v>234</v>
      </c>
      <c r="D23" s="238" t="s">
        <v>232</v>
      </c>
      <c r="E23" s="239">
        <f t="shared" si="1"/>
        <v>59713.39</v>
      </c>
      <c r="F23" s="235">
        <v>59713.39</v>
      </c>
    </row>
    <row r="24" spans="2:40" x14ac:dyDescent="0.2">
      <c r="B24" s="144" t="s">
        <v>246</v>
      </c>
      <c r="C24" s="238" t="s">
        <v>234</v>
      </c>
      <c r="D24" s="238" t="s">
        <v>232</v>
      </c>
      <c r="E24" s="239">
        <f t="shared" si="1"/>
        <v>2835</v>
      </c>
      <c r="F24" s="235">
        <v>405</v>
      </c>
      <c r="G24" s="239">
        <v>405</v>
      </c>
      <c r="H24" s="239">
        <v>405</v>
      </c>
      <c r="I24" s="239">
        <v>405</v>
      </c>
      <c r="J24" s="239">
        <v>405</v>
      </c>
      <c r="K24" s="239">
        <v>405</v>
      </c>
      <c r="L24" s="239">
        <v>405</v>
      </c>
      <c r="M24" s="239"/>
      <c r="N24" s="239"/>
    </row>
    <row r="25" spans="2:40" x14ac:dyDescent="0.2">
      <c r="B25" s="144" t="s">
        <v>247</v>
      </c>
      <c r="C25" s="238" t="s">
        <v>234</v>
      </c>
      <c r="D25" s="238" t="s">
        <v>232</v>
      </c>
      <c r="E25" s="239">
        <f t="shared" si="1"/>
        <v>600</v>
      </c>
      <c r="F25" s="235">
        <v>600</v>
      </c>
    </row>
    <row r="26" spans="2:40" x14ac:dyDescent="0.2">
      <c r="B26" s="144" t="s">
        <v>248</v>
      </c>
      <c r="C26" s="238" t="s">
        <v>234</v>
      </c>
      <c r="D26" s="238" t="s">
        <v>232</v>
      </c>
      <c r="E26" s="239">
        <f t="shared" si="1"/>
        <v>500</v>
      </c>
      <c r="F26" s="235">
        <v>500</v>
      </c>
    </row>
    <row r="27" spans="2:40" x14ac:dyDescent="0.2">
      <c r="B27" s="144" t="s">
        <v>249</v>
      </c>
      <c r="C27" s="238" t="s">
        <v>234</v>
      </c>
      <c r="D27" s="238" t="s">
        <v>232</v>
      </c>
      <c r="E27" s="239">
        <f t="shared" si="1"/>
        <v>1301.8888849999998</v>
      </c>
      <c r="F27" s="240">
        <v>1301.8888849999998</v>
      </c>
    </row>
    <row r="28" spans="2:40" x14ac:dyDescent="0.2">
      <c r="B28" s="144" t="s">
        <v>250</v>
      </c>
      <c r="C28" s="238" t="s">
        <v>234</v>
      </c>
      <c r="D28" s="238" t="s">
        <v>232</v>
      </c>
      <c r="E28" s="239">
        <f t="shared" si="1"/>
        <v>4698375.3547422085</v>
      </c>
      <c r="F28" s="239">
        <v>0</v>
      </c>
      <c r="G28" s="239">
        <v>0</v>
      </c>
      <c r="H28" s="239">
        <v>386935.5226062322</v>
      </c>
      <c r="I28" s="239">
        <v>1394362.2436260623</v>
      </c>
      <c r="J28" s="239">
        <v>1059787.0799999998</v>
      </c>
      <c r="K28" s="239">
        <v>1416323.4489631727</v>
      </c>
      <c r="L28" s="239">
        <v>440967.05954674201</v>
      </c>
      <c r="M28" s="239">
        <v>0</v>
      </c>
      <c r="N28" s="239">
        <v>0</v>
      </c>
      <c r="O28" s="239">
        <v>0</v>
      </c>
      <c r="P28" s="239">
        <v>0</v>
      </c>
      <c r="Q28" s="239">
        <v>0</v>
      </c>
      <c r="R28" s="239">
        <v>0</v>
      </c>
      <c r="S28" s="239">
        <v>0</v>
      </c>
      <c r="T28" s="239">
        <v>0</v>
      </c>
      <c r="U28" s="239">
        <v>0</v>
      </c>
      <c r="V28" s="239">
        <v>0</v>
      </c>
      <c r="W28" s="239">
        <v>0</v>
      </c>
      <c r="X28" s="239">
        <v>0</v>
      </c>
      <c r="Y28" s="239">
        <v>0</v>
      </c>
      <c r="Z28" s="239">
        <v>0</v>
      </c>
      <c r="AA28" s="239">
        <v>0</v>
      </c>
      <c r="AB28" s="239">
        <v>0</v>
      </c>
      <c r="AC28" s="239">
        <v>0</v>
      </c>
      <c r="AD28" s="239">
        <v>0</v>
      </c>
      <c r="AE28" s="239">
        <v>0</v>
      </c>
      <c r="AF28" s="239">
        <v>0</v>
      </c>
      <c r="AG28" s="239">
        <v>0</v>
      </c>
      <c r="AH28" s="239">
        <v>0</v>
      </c>
      <c r="AI28" s="239">
        <v>0</v>
      </c>
      <c r="AJ28" s="239">
        <v>0</v>
      </c>
      <c r="AK28" s="239">
        <v>0</v>
      </c>
      <c r="AL28" s="239">
        <v>0</v>
      </c>
      <c r="AM28" s="239">
        <v>0</v>
      </c>
      <c r="AN28" s="239">
        <v>0</v>
      </c>
    </row>
    <row r="29" spans="2:40" x14ac:dyDescent="0.2">
      <c r="B29" s="144" t="s">
        <v>251</v>
      </c>
      <c r="C29" s="238" t="s">
        <v>234</v>
      </c>
      <c r="D29" s="238" t="s">
        <v>232</v>
      </c>
      <c r="E29" s="239">
        <f t="shared" si="1"/>
        <v>31380.400000000001</v>
      </c>
      <c r="F29" s="235">
        <v>31380.400000000001</v>
      </c>
    </row>
    <row r="30" spans="2:40" x14ac:dyDescent="0.2">
      <c r="B30" s="241" t="s">
        <v>252</v>
      </c>
      <c r="C30" s="242" t="s">
        <v>234</v>
      </c>
      <c r="D30" s="242" t="s">
        <v>232</v>
      </c>
      <c r="E30" s="243">
        <f t="shared" si="1"/>
        <v>282646.96714285709</v>
      </c>
      <c r="F30" s="244">
        <v>0</v>
      </c>
      <c r="G30" s="244">
        <v>0</v>
      </c>
      <c r="H30" s="244">
        <v>23277.440325005424</v>
      </c>
      <c r="I30" s="244">
        <v>83882.6678378574</v>
      </c>
      <c r="J30" s="244">
        <v>63755.145419968234</v>
      </c>
      <c r="K30" s="244">
        <v>85203.819856303657</v>
      </c>
      <c r="L30" s="244">
        <v>26527.893703722391</v>
      </c>
      <c r="M30" s="244">
        <v>0</v>
      </c>
      <c r="N30" s="244">
        <v>0</v>
      </c>
      <c r="O30" s="244">
        <v>0</v>
      </c>
      <c r="P30" s="244">
        <v>0</v>
      </c>
      <c r="Q30" s="244">
        <v>0</v>
      </c>
      <c r="R30" s="244">
        <v>0</v>
      </c>
      <c r="S30" s="244">
        <v>0</v>
      </c>
      <c r="T30" s="244">
        <v>0</v>
      </c>
      <c r="U30" s="244">
        <v>0</v>
      </c>
      <c r="V30" s="244">
        <v>0</v>
      </c>
      <c r="W30" s="244">
        <v>0</v>
      </c>
      <c r="X30" s="244">
        <v>0</v>
      </c>
      <c r="Y30" s="244">
        <v>0</v>
      </c>
      <c r="Z30" s="244">
        <v>0</v>
      </c>
      <c r="AA30" s="244">
        <v>0</v>
      </c>
      <c r="AB30" s="244">
        <v>0</v>
      </c>
      <c r="AC30" s="244">
        <v>0</v>
      </c>
      <c r="AD30" s="244">
        <v>0</v>
      </c>
      <c r="AE30" s="244">
        <v>0</v>
      </c>
      <c r="AF30" s="244">
        <v>0</v>
      </c>
      <c r="AG30" s="244">
        <v>0</v>
      </c>
      <c r="AH30" s="244">
        <v>0</v>
      </c>
      <c r="AI30" s="244">
        <v>0</v>
      </c>
      <c r="AJ30" s="244">
        <v>0</v>
      </c>
      <c r="AK30" s="244">
        <v>0</v>
      </c>
      <c r="AL30" s="244">
        <v>0</v>
      </c>
      <c r="AM30" s="244">
        <v>0</v>
      </c>
      <c r="AN30" s="244">
        <v>0</v>
      </c>
    </row>
    <row r="31" spans="2:40" x14ac:dyDescent="0.2">
      <c r="B31" s="236" t="s">
        <v>253</v>
      </c>
      <c r="C31" s="238"/>
      <c r="D31" s="238"/>
      <c r="E31" s="237">
        <f t="shared" si="1"/>
        <v>33001298.14999995</v>
      </c>
      <c r="F31" s="245">
        <f>SUM(F32:F35)</f>
        <v>2594727.7000000002</v>
      </c>
      <c r="G31" s="245">
        <f>SUM(G32:G35)</f>
        <v>2594727.7000000002</v>
      </c>
      <c r="H31" s="245">
        <f t="shared" ref="H31:AN31" si="4">SUM(H32:H35)</f>
        <v>2594727.7000000002</v>
      </c>
      <c r="I31" s="245">
        <f t="shared" si="4"/>
        <v>2594727.7000000002</v>
      </c>
      <c r="J31" s="245">
        <f t="shared" si="4"/>
        <v>2594727.7000000002</v>
      </c>
      <c r="K31" s="245">
        <f t="shared" si="4"/>
        <v>2594727.7000000002</v>
      </c>
      <c r="L31" s="245">
        <f t="shared" si="4"/>
        <v>1729241.71</v>
      </c>
      <c r="M31" s="245">
        <f t="shared" si="4"/>
        <v>560846.07999999996</v>
      </c>
      <c r="N31" s="245">
        <f t="shared" si="4"/>
        <v>560846.07999999996</v>
      </c>
      <c r="O31" s="245">
        <f t="shared" si="4"/>
        <v>560846.07999999996</v>
      </c>
      <c r="P31" s="245">
        <f t="shared" si="4"/>
        <v>560846.07999999996</v>
      </c>
      <c r="Q31" s="245">
        <f t="shared" si="4"/>
        <v>560846.07999999996</v>
      </c>
      <c r="R31" s="245">
        <f t="shared" si="4"/>
        <v>560846.07999999996</v>
      </c>
      <c r="S31" s="245">
        <f t="shared" si="4"/>
        <v>560846.07999999996</v>
      </c>
      <c r="T31" s="245">
        <f t="shared" si="4"/>
        <v>560846.07999999996</v>
      </c>
      <c r="U31" s="245">
        <f t="shared" si="4"/>
        <v>560846.07999999996</v>
      </c>
      <c r="V31" s="245">
        <f t="shared" si="4"/>
        <v>560846.07999999996</v>
      </c>
      <c r="W31" s="245">
        <f t="shared" si="4"/>
        <v>560846.07999999996</v>
      </c>
      <c r="X31" s="245">
        <f t="shared" si="4"/>
        <v>560846.07999999996</v>
      </c>
      <c r="Y31" s="245">
        <f t="shared" si="4"/>
        <v>560846.07999999996</v>
      </c>
      <c r="Z31" s="245">
        <f t="shared" si="4"/>
        <v>560846.07999999996</v>
      </c>
      <c r="AA31" s="245">
        <f t="shared" si="4"/>
        <v>560846.07999999996</v>
      </c>
      <c r="AB31" s="245">
        <f t="shared" si="4"/>
        <v>560846.07999999996</v>
      </c>
      <c r="AC31" s="245">
        <f t="shared" si="4"/>
        <v>560846.07999999996</v>
      </c>
      <c r="AD31" s="245">
        <f t="shared" si="4"/>
        <v>560846.07999999996</v>
      </c>
      <c r="AE31" s="245">
        <f t="shared" si="4"/>
        <v>560846.07999999996</v>
      </c>
      <c r="AF31" s="245">
        <f t="shared" si="4"/>
        <v>560846.07999999996</v>
      </c>
      <c r="AG31" s="245">
        <f t="shared" si="4"/>
        <v>560846.07999999996</v>
      </c>
      <c r="AH31" s="245">
        <f t="shared" si="4"/>
        <v>560846.07999999996</v>
      </c>
      <c r="AI31" s="245">
        <f t="shared" si="4"/>
        <v>560846.07999999996</v>
      </c>
      <c r="AJ31" s="245">
        <f t="shared" si="4"/>
        <v>560846.07999999996</v>
      </c>
      <c r="AK31" s="245">
        <f t="shared" si="4"/>
        <v>560846.07999999996</v>
      </c>
      <c r="AL31" s="245">
        <f t="shared" si="4"/>
        <v>560846.07999999996</v>
      </c>
      <c r="AM31" s="245">
        <f t="shared" si="4"/>
        <v>560846.07999999996</v>
      </c>
      <c r="AN31" s="245">
        <f t="shared" si="4"/>
        <v>560846.07999999996</v>
      </c>
    </row>
    <row r="32" spans="2:40" x14ac:dyDescent="0.2">
      <c r="B32" s="144" t="s">
        <v>254</v>
      </c>
      <c r="C32" s="238" t="s">
        <v>231</v>
      </c>
      <c r="D32" s="238" t="s">
        <v>255</v>
      </c>
      <c r="E32" s="239">
        <f t="shared" si="1"/>
        <v>19192746.890000012</v>
      </c>
      <c r="F32" s="240">
        <v>1265481.1600000001</v>
      </c>
      <c r="G32" s="240">
        <v>1265481.1600000001</v>
      </c>
      <c r="H32" s="240">
        <v>1265481.1600000001</v>
      </c>
      <c r="I32" s="240">
        <v>1265481.1600000001</v>
      </c>
      <c r="J32" s="240">
        <v>1265481.1600000001</v>
      </c>
      <c r="K32" s="240">
        <v>1265481.1600000001</v>
      </c>
      <c r="L32" s="240">
        <v>399995.17</v>
      </c>
      <c r="M32" s="240">
        <v>399995.17</v>
      </c>
      <c r="N32" s="240">
        <v>399995.17</v>
      </c>
      <c r="O32" s="240">
        <v>399995.17</v>
      </c>
      <c r="P32" s="240">
        <v>399995.17</v>
      </c>
      <c r="Q32" s="240">
        <v>399995.17</v>
      </c>
      <c r="R32" s="240">
        <v>399995.17</v>
      </c>
      <c r="S32" s="240">
        <v>399995.17</v>
      </c>
      <c r="T32" s="240">
        <v>399995.17</v>
      </c>
      <c r="U32" s="240">
        <v>399995.17</v>
      </c>
      <c r="V32" s="240">
        <v>399995.17</v>
      </c>
      <c r="W32" s="240">
        <v>399995.17</v>
      </c>
      <c r="X32" s="240">
        <v>399995.17</v>
      </c>
      <c r="Y32" s="240">
        <v>399995.17</v>
      </c>
      <c r="Z32" s="240">
        <v>399995.17</v>
      </c>
      <c r="AA32" s="240">
        <v>399995.17</v>
      </c>
      <c r="AB32" s="240">
        <v>399995.17</v>
      </c>
      <c r="AC32" s="240">
        <v>399995.17</v>
      </c>
      <c r="AD32" s="240">
        <v>399995.17</v>
      </c>
      <c r="AE32" s="240">
        <v>399995.17</v>
      </c>
      <c r="AF32" s="240">
        <v>399995.17</v>
      </c>
      <c r="AG32" s="240">
        <v>399995.17</v>
      </c>
      <c r="AH32" s="240">
        <v>399995.17</v>
      </c>
      <c r="AI32" s="240">
        <v>399995.17</v>
      </c>
      <c r="AJ32" s="240">
        <v>399995.17</v>
      </c>
      <c r="AK32" s="240">
        <v>399995.17</v>
      </c>
      <c r="AL32" s="240">
        <v>399995.17</v>
      </c>
      <c r="AM32" s="240">
        <v>399995.17</v>
      </c>
      <c r="AN32" s="240">
        <v>399995.17</v>
      </c>
    </row>
    <row r="33" spans="2:40" x14ac:dyDescent="0.2">
      <c r="B33" s="144" t="s">
        <v>256</v>
      </c>
      <c r="C33" s="238" t="s">
        <v>231</v>
      </c>
      <c r="D33" s="238" t="s">
        <v>255</v>
      </c>
      <c r="E33" s="239">
        <f t="shared" si="1"/>
        <v>5629781.8500000024</v>
      </c>
      <c r="F33" s="240">
        <v>160850.91</v>
      </c>
      <c r="G33" s="240">
        <v>160850.91</v>
      </c>
      <c r="H33" s="240">
        <v>160850.91</v>
      </c>
      <c r="I33" s="240">
        <v>160850.91</v>
      </c>
      <c r="J33" s="240">
        <v>160850.91</v>
      </c>
      <c r="K33" s="240">
        <v>160850.91</v>
      </c>
      <c r="L33" s="240">
        <v>160850.91</v>
      </c>
      <c r="M33" s="240">
        <v>160850.91</v>
      </c>
      <c r="N33" s="240">
        <v>160850.91</v>
      </c>
      <c r="O33" s="240">
        <v>160850.91</v>
      </c>
      <c r="P33" s="240">
        <v>160850.91</v>
      </c>
      <c r="Q33" s="240">
        <v>160850.91</v>
      </c>
      <c r="R33" s="240">
        <v>160850.91</v>
      </c>
      <c r="S33" s="240">
        <v>160850.91</v>
      </c>
      <c r="T33" s="240">
        <v>160850.91</v>
      </c>
      <c r="U33" s="240">
        <v>160850.91</v>
      </c>
      <c r="V33" s="240">
        <v>160850.91</v>
      </c>
      <c r="W33" s="240">
        <v>160850.91</v>
      </c>
      <c r="X33" s="240">
        <v>160850.91</v>
      </c>
      <c r="Y33" s="240">
        <v>160850.91</v>
      </c>
      <c r="Z33" s="240">
        <v>160850.91</v>
      </c>
      <c r="AA33" s="240">
        <v>160850.91</v>
      </c>
      <c r="AB33" s="240">
        <v>160850.91</v>
      </c>
      <c r="AC33" s="240">
        <v>160850.91</v>
      </c>
      <c r="AD33" s="240">
        <v>160850.91</v>
      </c>
      <c r="AE33" s="240">
        <v>160850.91</v>
      </c>
      <c r="AF33" s="240">
        <v>160850.91</v>
      </c>
      <c r="AG33" s="240">
        <v>160850.91</v>
      </c>
      <c r="AH33" s="240">
        <v>160850.91</v>
      </c>
      <c r="AI33" s="240">
        <v>160850.91</v>
      </c>
      <c r="AJ33" s="240">
        <v>160850.91</v>
      </c>
      <c r="AK33" s="240">
        <v>160850.91</v>
      </c>
      <c r="AL33" s="240">
        <v>160850.91</v>
      </c>
      <c r="AM33" s="240">
        <v>160850.91</v>
      </c>
      <c r="AN33" s="240">
        <v>160850.91</v>
      </c>
    </row>
    <row r="34" spans="2:40" x14ac:dyDescent="0.2">
      <c r="B34" s="144" t="s">
        <v>257</v>
      </c>
      <c r="C34" s="238" t="s">
        <v>231</v>
      </c>
      <c r="D34" s="238" t="s">
        <v>232</v>
      </c>
      <c r="E34" s="239">
        <f t="shared" si="1"/>
        <v>3546297.9300000006</v>
      </c>
      <c r="F34" s="235">
        <v>506613.99</v>
      </c>
      <c r="G34" s="235">
        <v>506613.99</v>
      </c>
      <c r="H34" s="235">
        <v>506613.99</v>
      </c>
      <c r="I34" s="235">
        <v>506613.99</v>
      </c>
      <c r="J34" s="235">
        <v>506613.99</v>
      </c>
      <c r="K34" s="235">
        <v>506613.99</v>
      </c>
      <c r="L34" s="235">
        <v>506613.99</v>
      </c>
      <c r="M34" s="235"/>
    </row>
    <row r="35" spans="2:40" x14ac:dyDescent="0.2">
      <c r="B35" s="144" t="s">
        <v>258</v>
      </c>
      <c r="C35" s="238" t="s">
        <v>231</v>
      </c>
      <c r="D35" s="238" t="s">
        <v>232</v>
      </c>
      <c r="E35" s="239">
        <f t="shared" si="1"/>
        <v>4632471.4800000004</v>
      </c>
      <c r="F35" s="235">
        <v>661781.64</v>
      </c>
      <c r="G35" s="235">
        <v>661781.64</v>
      </c>
      <c r="H35" s="235">
        <v>661781.64</v>
      </c>
      <c r="I35" s="235">
        <v>661781.64</v>
      </c>
      <c r="J35" s="235">
        <v>661781.64</v>
      </c>
      <c r="K35" s="235">
        <v>661781.64</v>
      </c>
      <c r="L35" s="235">
        <v>661781.64</v>
      </c>
      <c r="M35" s="235"/>
    </row>
    <row r="36" spans="2:40" x14ac:dyDescent="0.2">
      <c r="B36" s="150" t="s">
        <v>59</v>
      </c>
      <c r="C36" s="246"/>
      <c r="D36" s="234"/>
      <c r="E36" s="247">
        <f t="shared" ref="E36:AN36" si="5">E12+E16+E22+E31</f>
        <v>40472567.787616096</v>
      </c>
      <c r="F36" s="247">
        <f t="shared" si="5"/>
        <v>5066964.2588849999</v>
      </c>
      <c r="G36" s="247">
        <f t="shared" si="5"/>
        <v>2595132.7000000002</v>
      </c>
      <c r="H36" s="247">
        <f t="shared" si="5"/>
        <v>3005345.6629312378</v>
      </c>
      <c r="I36" s="247">
        <f t="shared" si="5"/>
        <v>4073377.6114639202</v>
      </c>
      <c r="J36" s="247">
        <f t="shared" si="5"/>
        <v>3718674.9254199686</v>
      </c>
      <c r="K36" s="247">
        <f t="shared" si="5"/>
        <v>4099575.9308528416</v>
      </c>
      <c r="L36" s="247">
        <f t="shared" si="5"/>
        <v>2197141.6632504645</v>
      </c>
      <c r="M36" s="247">
        <f t="shared" si="5"/>
        <v>560846.07999999996</v>
      </c>
      <c r="N36" s="247">
        <f t="shared" si="5"/>
        <v>560846.07999999996</v>
      </c>
      <c r="O36" s="247">
        <f t="shared" si="5"/>
        <v>560846.07999999996</v>
      </c>
      <c r="P36" s="247">
        <f t="shared" si="5"/>
        <v>560846.07999999996</v>
      </c>
      <c r="Q36" s="247">
        <f t="shared" si="5"/>
        <v>564012.27870317909</v>
      </c>
      <c r="R36" s="247">
        <f t="shared" si="5"/>
        <v>560846.07999999996</v>
      </c>
      <c r="S36" s="247">
        <f t="shared" si="5"/>
        <v>560846.07999999996</v>
      </c>
      <c r="T36" s="247">
        <f t="shared" si="5"/>
        <v>560846.07999999996</v>
      </c>
      <c r="U36" s="247">
        <f t="shared" si="5"/>
        <v>560846.07999999996</v>
      </c>
      <c r="V36" s="247">
        <f t="shared" si="5"/>
        <v>560846.07999999996</v>
      </c>
      <c r="W36" s="247">
        <f t="shared" si="5"/>
        <v>564012.27870317909</v>
      </c>
      <c r="X36" s="247">
        <f t="shared" si="5"/>
        <v>560846.07999999996</v>
      </c>
      <c r="Y36" s="247">
        <f t="shared" si="5"/>
        <v>560846.07999999996</v>
      </c>
      <c r="Z36" s="247">
        <f t="shared" si="5"/>
        <v>560846.07999999996</v>
      </c>
      <c r="AA36" s="247">
        <f t="shared" si="5"/>
        <v>560846.07999999996</v>
      </c>
      <c r="AB36" s="247">
        <f t="shared" si="5"/>
        <v>560846.07999999996</v>
      </c>
      <c r="AC36" s="247">
        <f t="shared" si="5"/>
        <v>564012.27870317909</v>
      </c>
      <c r="AD36" s="247">
        <f t="shared" si="5"/>
        <v>560846.07999999996</v>
      </c>
      <c r="AE36" s="247">
        <f t="shared" si="5"/>
        <v>560846.07999999996</v>
      </c>
      <c r="AF36" s="247">
        <f t="shared" si="5"/>
        <v>560846.07999999996</v>
      </c>
      <c r="AG36" s="247">
        <f t="shared" si="5"/>
        <v>560846.07999999996</v>
      </c>
      <c r="AH36" s="247">
        <f t="shared" si="5"/>
        <v>560846.07999999996</v>
      </c>
      <c r="AI36" s="247">
        <f t="shared" si="5"/>
        <v>564012.27870317909</v>
      </c>
      <c r="AJ36" s="247">
        <f t="shared" si="5"/>
        <v>560846.07999999996</v>
      </c>
      <c r="AK36" s="247">
        <f t="shared" si="5"/>
        <v>560846.07999999996</v>
      </c>
      <c r="AL36" s="247">
        <f t="shared" si="5"/>
        <v>560846.07999999996</v>
      </c>
      <c r="AM36" s="247">
        <f t="shared" si="5"/>
        <v>560846.07999999996</v>
      </c>
      <c r="AN36" s="247">
        <f t="shared" si="5"/>
        <v>560846.07999999996</v>
      </c>
    </row>
    <row r="37" spans="2:40" x14ac:dyDescent="0.2">
      <c r="E37" s="248"/>
    </row>
    <row r="38" spans="2:40" x14ac:dyDescent="0.2">
      <c r="E38" s="239"/>
    </row>
  </sheetData>
  <conditionalFormatting sqref="D5:D7">
    <cfRule type="cellIs" dxfId="4" priority="1" operator="less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K67"/>
  <sheetViews>
    <sheetView showGridLines="0"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C11" sqref="C11"/>
    </sheetView>
  </sheetViews>
  <sheetFormatPr defaultRowHeight="15" x14ac:dyDescent="0.25"/>
  <cols>
    <col min="1" max="1" width="2.5703125" style="3" customWidth="1"/>
    <col min="2" max="2" width="74.5703125" style="3" bestFit="1" customWidth="1"/>
    <col min="3" max="13" width="15.7109375" style="5" customWidth="1"/>
    <col min="14" max="37" width="15.7109375" style="3" customWidth="1"/>
    <col min="38" max="16384" width="9.140625" style="3"/>
  </cols>
  <sheetData>
    <row r="1" spans="1:37" x14ac:dyDescent="0.25">
      <c r="B1" s="30"/>
      <c r="C1" s="3"/>
      <c r="D1" s="28"/>
      <c r="F1" s="28"/>
      <c r="G1" s="3"/>
      <c r="H1" s="28"/>
      <c r="J1" s="3"/>
      <c r="K1" s="30"/>
      <c r="L1" s="3"/>
      <c r="M1" s="28"/>
      <c r="N1" s="5"/>
      <c r="O1" s="28"/>
      <c r="Q1" s="28"/>
      <c r="R1" s="5"/>
      <c r="S1" s="28"/>
    </row>
    <row r="2" spans="1:37" x14ac:dyDescent="0.25">
      <c r="B2" s="30"/>
      <c r="C2" s="3"/>
      <c r="D2" s="28"/>
      <c r="F2" s="28"/>
      <c r="G2" s="3"/>
      <c r="H2" s="28"/>
      <c r="J2" s="3"/>
      <c r="K2" s="30"/>
      <c r="L2" s="3"/>
      <c r="M2" s="28"/>
      <c r="N2" s="5"/>
      <c r="O2" s="28"/>
      <c r="Q2" s="28"/>
      <c r="R2" s="5"/>
      <c r="S2" s="28"/>
    </row>
    <row r="3" spans="1:37" customFormat="1" ht="24.75" x14ac:dyDescent="0.4">
      <c r="A3" s="65"/>
      <c r="B3" s="30"/>
      <c r="C3" s="3"/>
      <c r="D3" s="28"/>
      <c r="E3" s="5"/>
      <c r="F3" s="65"/>
      <c r="G3" s="65"/>
      <c r="H3" s="65"/>
      <c r="I3" s="65"/>
    </row>
    <row r="4" spans="1:37" customFormat="1" ht="24.75" x14ac:dyDescent="0.4">
      <c r="A4" s="65"/>
      <c r="B4" s="30"/>
      <c r="C4" s="3"/>
      <c r="D4" s="28"/>
      <c r="E4" s="5"/>
      <c r="F4" s="65"/>
      <c r="G4" s="65"/>
      <c r="H4" s="65"/>
      <c r="I4" s="65"/>
    </row>
    <row r="5" spans="1:37" customFormat="1" ht="6" customHeight="1" x14ac:dyDescent="0.25">
      <c r="A5" s="66"/>
      <c r="B5" s="30"/>
      <c r="C5" s="3"/>
      <c r="D5" s="28"/>
      <c r="E5" s="5"/>
      <c r="F5" s="66"/>
    </row>
    <row r="6" spans="1:37" customFormat="1" ht="31.5" customHeight="1" x14ac:dyDescent="0.25">
      <c r="A6" s="66"/>
      <c r="B6" s="68" t="s">
        <v>77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9"/>
      <c r="O6" s="69"/>
      <c r="P6" s="69"/>
      <c r="Q6" s="69"/>
      <c r="R6" s="69"/>
    </row>
    <row r="7" spans="1:37" ht="4.5" customHeight="1" thickBot="1" x14ac:dyDescent="0.3">
      <c r="B7" s="67"/>
      <c r="C7" s="67"/>
      <c r="D7" s="67"/>
      <c r="E7" s="67"/>
      <c r="F7" s="67"/>
      <c r="G7" s="67"/>
      <c r="H7" s="67"/>
      <c r="I7" s="67"/>
      <c r="J7" s="70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</row>
    <row r="8" spans="1:37" ht="16.5" thickTop="1" thickBot="1" x14ac:dyDescent="0.3"/>
    <row r="9" spans="1:37" ht="15.75" thickBot="1" x14ac:dyDescent="0.3">
      <c r="B9" s="72"/>
      <c r="C9" s="597">
        <v>1</v>
      </c>
      <c r="D9" s="597">
        <f>C9+1</f>
        <v>2</v>
      </c>
      <c r="E9" s="597">
        <f t="shared" ref="E9:AK9" si="0">D9+1</f>
        <v>3</v>
      </c>
      <c r="F9" s="597">
        <f t="shared" si="0"/>
        <v>4</v>
      </c>
      <c r="G9" s="597">
        <f t="shared" si="0"/>
        <v>5</v>
      </c>
      <c r="H9" s="597">
        <f t="shared" si="0"/>
        <v>6</v>
      </c>
      <c r="I9" s="597">
        <f t="shared" si="0"/>
        <v>7</v>
      </c>
      <c r="J9" s="597">
        <f t="shared" si="0"/>
        <v>8</v>
      </c>
      <c r="K9" s="597">
        <f t="shared" si="0"/>
        <v>9</v>
      </c>
      <c r="L9" s="597">
        <f t="shared" si="0"/>
        <v>10</v>
      </c>
      <c r="M9" s="597">
        <f t="shared" si="0"/>
        <v>11</v>
      </c>
      <c r="N9" s="597">
        <f t="shared" si="0"/>
        <v>12</v>
      </c>
      <c r="O9" s="597">
        <f t="shared" si="0"/>
        <v>13</v>
      </c>
      <c r="P9" s="597">
        <f t="shared" si="0"/>
        <v>14</v>
      </c>
      <c r="Q9" s="597">
        <f t="shared" si="0"/>
        <v>15</v>
      </c>
      <c r="R9" s="597">
        <f t="shared" si="0"/>
        <v>16</v>
      </c>
      <c r="S9" s="597">
        <f t="shared" si="0"/>
        <v>17</v>
      </c>
      <c r="T9" s="597">
        <f t="shared" si="0"/>
        <v>18</v>
      </c>
      <c r="U9" s="597">
        <f t="shared" si="0"/>
        <v>19</v>
      </c>
      <c r="V9" s="597">
        <f t="shared" si="0"/>
        <v>20</v>
      </c>
      <c r="W9" s="597">
        <f t="shared" si="0"/>
        <v>21</v>
      </c>
      <c r="X9" s="597">
        <f t="shared" si="0"/>
        <v>22</v>
      </c>
      <c r="Y9" s="597">
        <f t="shared" si="0"/>
        <v>23</v>
      </c>
      <c r="Z9" s="597">
        <f t="shared" si="0"/>
        <v>24</v>
      </c>
      <c r="AA9" s="597">
        <f t="shared" si="0"/>
        <v>25</v>
      </c>
      <c r="AB9" s="597">
        <f t="shared" si="0"/>
        <v>26</v>
      </c>
      <c r="AC9" s="597">
        <f t="shared" si="0"/>
        <v>27</v>
      </c>
      <c r="AD9" s="597">
        <f t="shared" si="0"/>
        <v>28</v>
      </c>
      <c r="AE9" s="597">
        <f t="shared" si="0"/>
        <v>29</v>
      </c>
      <c r="AF9" s="597">
        <f t="shared" si="0"/>
        <v>30</v>
      </c>
      <c r="AG9" s="597">
        <f t="shared" si="0"/>
        <v>31</v>
      </c>
      <c r="AH9" s="597">
        <f t="shared" si="0"/>
        <v>32</v>
      </c>
      <c r="AI9" s="597">
        <f t="shared" si="0"/>
        <v>33</v>
      </c>
      <c r="AJ9" s="597">
        <f t="shared" si="0"/>
        <v>34</v>
      </c>
      <c r="AK9" s="598">
        <f t="shared" si="0"/>
        <v>35</v>
      </c>
    </row>
    <row r="10" spans="1:37" ht="6.75" customHeight="1" x14ac:dyDescent="0.25">
      <c r="B10" s="33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</row>
    <row r="11" spans="1:37" x14ac:dyDescent="0.25">
      <c r="B11" s="574" t="s">
        <v>75</v>
      </c>
      <c r="C11" s="575"/>
      <c r="D11" s="487"/>
      <c r="E11" s="487"/>
      <c r="F11" s="487"/>
      <c r="G11" s="487"/>
      <c r="H11" s="487"/>
      <c r="I11" s="487"/>
      <c r="J11" s="487"/>
      <c r="K11" s="487"/>
      <c r="L11" s="487"/>
      <c r="M11" s="487"/>
      <c r="N11" s="487"/>
      <c r="O11" s="487"/>
      <c r="P11" s="487"/>
      <c r="Q11" s="487"/>
      <c r="R11" s="487"/>
      <c r="S11" s="487"/>
      <c r="T11" s="487"/>
      <c r="U11" s="487"/>
      <c r="V11" s="487"/>
      <c r="W11" s="487"/>
      <c r="X11" s="487"/>
      <c r="Y11" s="487"/>
      <c r="Z11" s="487"/>
      <c r="AA11" s="487"/>
      <c r="AB11" s="487"/>
      <c r="AC11" s="487"/>
      <c r="AD11" s="487"/>
      <c r="AE11" s="487"/>
      <c r="AF11" s="487"/>
      <c r="AG11" s="487"/>
      <c r="AH11" s="487"/>
      <c r="AI11" s="487"/>
      <c r="AJ11" s="487"/>
      <c r="AK11" s="497"/>
    </row>
    <row r="12" spans="1:37" x14ac:dyDescent="0.25">
      <c r="B12" s="494" t="s">
        <v>71</v>
      </c>
      <c r="C12" s="495">
        <f>'Cronograma IUC'!D60</f>
        <v>0</v>
      </c>
      <c r="D12" s="496">
        <f>'Cronograma IUC'!E60</f>
        <v>0</v>
      </c>
      <c r="E12" s="496">
        <f>'Cronograma IUC'!F60</f>
        <v>1097.876298394712</v>
      </c>
      <c r="F12" s="496">
        <f>'Cronograma IUC'!G60</f>
        <v>3956.3109852061698</v>
      </c>
      <c r="G12" s="496">
        <f>'Cronograma IUC'!H60</f>
        <v>2974.1567831287375</v>
      </c>
      <c r="H12" s="496">
        <f>'Cronograma IUC'!I60</f>
        <v>4018.6228832231664</v>
      </c>
      <c r="I12" s="496">
        <f>'Cronograma IUC'!J60</f>
        <v>1251.1833490714509</v>
      </c>
      <c r="J12" s="496">
        <f>'Cronograma IUC'!K60</f>
        <v>0</v>
      </c>
      <c r="K12" s="496">
        <f>'Cronograma IUC'!L60</f>
        <v>0</v>
      </c>
      <c r="L12" s="496">
        <f>'Cronograma IUC'!M60</f>
        <v>0</v>
      </c>
      <c r="M12" s="496">
        <f>'Cronograma IUC'!N60</f>
        <v>0</v>
      </c>
      <c r="N12" s="496">
        <v>0</v>
      </c>
      <c r="O12" s="496">
        <v>0</v>
      </c>
      <c r="P12" s="496">
        <v>0</v>
      </c>
      <c r="Q12" s="496">
        <v>0</v>
      </c>
      <c r="R12" s="496">
        <v>0</v>
      </c>
      <c r="S12" s="496">
        <v>0</v>
      </c>
      <c r="T12" s="496">
        <v>0</v>
      </c>
      <c r="U12" s="496">
        <v>0</v>
      </c>
      <c r="V12" s="496">
        <v>0</v>
      </c>
      <c r="W12" s="496">
        <v>0</v>
      </c>
      <c r="X12" s="496">
        <v>0</v>
      </c>
      <c r="Y12" s="496">
        <v>0</v>
      </c>
      <c r="Z12" s="496">
        <v>0</v>
      </c>
      <c r="AA12" s="496">
        <v>0</v>
      </c>
      <c r="AB12" s="496">
        <v>0</v>
      </c>
      <c r="AC12" s="496">
        <v>0</v>
      </c>
      <c r="AD12" s="496">
        <v>0</v>
      </c>
      <c r="AE12" s="496">
        <v>0</v>
      </c>
      <c r="AF12" s="496">
        <v>0</v>
      </c>
      <c r="AG12" s="496">
        <v>0</v>
      </c>
      <c r="AH12" s="496">
        <v>0</v>
      </c>
      <c r="AI12" s="496">
        <v>0</v>
      </c>
      <c r="AJ12" s="496">
        <v>0</v>
      </c>
      <c r="AK12" s="498">
        <v>0</v>
      </c>
    </row>
    <row r="13" spans="1:37" x14ac:dyDescent="0.25">
      <c r="B13" s="491" t="s">
        <v>78</v>
      </c>
      <c r="C13" s="492">
        <f>C12</f>
        <v>0</v>
      </c>
      <c r="D13" s="493">
        <f>C13+D12</f>
        <v>0</v>
      </c>
      <c r="E13" s="493">
        <f t="shared" ref="E13:N13" si="1">D13+E12</f>
        <v>1097.876298394712</v>
      </c>
      <c r="F13" s="493">
        <f t="shared" si="1"/>
        <v>5054.1872836008815</v>
      </c>
      <c r="G13" s="493">
        <f t="shared" si="1"/>
        <v>8028.344066729619</v>
      </c>
      <c r="H13" s="493">
        <f t="shared" si="1"/>
        <v>12046.966949952784</v>
      </c>
      <c r="I13" s="493">
        <f t="shared" si="1"/>
        <v>13298.150299024235</v>
      </c>
      <c r="J13" s="493">
        <f t="shared" si="1"/>
        <v>13298.150299024235</v>
      </c>
      <c r="K13" s="493">
        <f t="shared" si="1"/>
        <v>13298.150299024235</v>
      </c>
      <c r="L13" s="493">
        <f t="shared" si="1"/>
        <v>13298.150299024235</v>
      </c>
      <c r="M13" s="493">
        <f t="shared" si="1"/>
        <v>13298.150299024235</v>
      </c>
      <c r="N13" s="493">
        <f t="shared" si="1"/>
        <v>13298.150299024235</v>
      </c>
      <c r="O13" s="493">
        <f t="shared" ref="O13" si="2">N13+O12</f>
        <v>13298.150299024235</v>
      </c>
      <c r="P13" s="493">
        <f t="shared" ref="P13" si="3">O13+P12</f>
        <v>13298.150299024235</v>
      </c>
      <c r="Q13" s="493">
        <f t="shared" ref="Q13" si="4">P13+Q12</f>
        <v>13298.150299024235</v>
      </c>
      <c r="R13" s="493">
        <f t="shared" ref="R13" si="5">Q13+R12</f>
        <v>13298.150299024235</v>
      </c>
      <c r="S13" s="493">
        <f t="shared" ref="S13" si="6">R13+S12</f>
        <v>13298.150299024235</v>
      </c>
      <c r="T13" s="493">
        <f t="shared" ref="T13" si="7">S13+T12</f>
        <v>13298.150299024235</v>
      </c>
      <c r="U13" s="493">
        <f t="shared" ref="U13" si="8">T13+U12</f>
        <v>13298.150299024235</v>
      </c>
      <c r="V13" s="493">
        <f t="shared" ref="V13" si="9">U13+V12</f>
        <v>13298.150299024235</v>
      </c>
      <c r="W13" s="493">
        <f t="shared" ref="W13" si="10">V13+W12</f>
        <v>13298.150299024235</v>
      </c>
      <c r="X13" s="493">
        <f t="shared" ref="X13" si="11">W13+X12</f>
        <v>13298.150299024235</v>
      </c>
      <c r="Y13" s="493">
        <f t="shared" ref="Y13" si="12">X13+Y12</f>
        <v>13298.150299024235</v>
      </c>
      <c r="Z13" s="493">
        <f t="shared" ref="Z13" si="13">Y13+Z12</f>
        <v>13298.150299024235</v>
      </c>
      <c r="AA13" s="493">
        <f t="shared" ref="AA13" si="14">Z13+AA12</f>
        <v>13298.150299024235</v>
      </c>
      <c r="AB13" s="493">
        <f t="shared" ref="AB13" si="15">AA13+AB12</f>
        <v>13298.150299024235</v>
      </c>
      <c r="AC13" s="493">
        <f t="shared" ref="AC13" si="16">AB13+AC12</f>
        <v>13298.150299024235</v>
      </c>
      <c r="AD13" s="493">
        <f t="shared" ref="AD13" si="17">AC13+AD12</f>
        <v>13298.150299024235</v>
      </c>
      <c r="AE13" s="493">
        <f t="shared" ref="AE13" si="18">AD13+AE12</f>
        <v>13298.150299024235</v>
      </c>
      <c r="AF13" s="493">
        <f t="shared" ref="AF13" si="19">AE13+AF12</f>
        <v>13298.150299024235</v>
      </c>
      <c r="AG13" s="493">
        <f t="shared" ref="AG13" si="20">AF13+AG12</f>
        <v>13298.150299024235</v>
      </c>
      <c r="AH13" s="493">
        <f t="shared" ref="AH13" si="21">AG13+AH12</f>
        <v>13298.150299024235</v>
      </c>
      <c r="AI13" s="493">
        <f t="shared" ref="AI13" si="22">AH13+AI12</f>
        <v>13298.150299024235</v>
      </c>
      <c r="AJ13" s="493">
        <f t="shared" ref="AJ13" si="23">AI13+AJ12</f>
        <v>13298.150299024235</v>
      </c>
      <c r="AK13" s="499">
        <f t="shared" ref="AK13" si="24">AJ13+AK12</f>
        <v>13298.150299024235</v>
      </c>
    </row>
    <row r="14" spans="1:37" s="28" customFormat="1" ht="8.1" customHeight="1" x14ac:dyDescent="0.25">
      <c r="B14" s="54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AK14" s="500"/>
    </row>
    <row r="15" spans="1:37" x14ac:dyDescent="0.25">
      <c r="B15" s="488" t="s">
        <v>72</v>
      </c>
      <c r="C15" s="489"/>
      <c r="D15" s="489"/>
      <c r="E15" s="489"/>
      <c r="F15" s="489"/>
      <c r="G15" s="489"/>
      <c r="H15" s="489"/>
      <c r="I15" s="489"/>
      <c r="J15" s="489"/>
      <c r="K15" s="489"/>
      <c r="L15" s="489"/>
      <c r="M15" s="489"/>
      <c r="N15" s="489"/>
      <c r="O15" s="489"/>
      <c r="P15" s="489"/>
      <c r="Q15" s="489"/>
      <c r="R15" s="489"/>
      <c r="S15" s="489"/>
      <c r="T15" s="489"/>
      <c r="U15" s="489"/>
      <c r="V15" s="489"/>
      <c r="W15" s="489"/>
      <c r="X15" s="489"/>
      <c r="Y15" s="489"/>
      <c r="Z15" s="489"/>
      <c r="AA15" s="489"/>
      <c r="AB15" s="489"/>
      <c r="AC15" s="489"/>
      <c r="AD15" s="489"/>
      <c r="AE15" s="489"/>
      <c r="AF15" s="489"/>
      <c r="AG15" s="489"/>
      <c r="AH15" s="489"/>
      <c r="AI15" s="489"/>
      <c r="AJ15" s="489"/>
      <c r="AK15" s="490"/>
    </row>
    <row r="16" spans="1:37" x14ac:dyDescent="0.25">
      <c r="B16" s="40" t="s">
        <v>63</v>
      </c>
      <c r="C16" s="41">
        <f>'Premissas Adotadas'!$D$10</f>
        <v>0.8</v>
      </c>
      <c r="D16" s="41">
        <f>'Premissas Adotadas'!$D$10</f>
        <v>0.8</v>
      </c>
      <c r="E16" s="41">
        <f>'Premissas Adotadas'!$D$10</f>
        <v>0.8</v>
      </c>
      <c r="F16" s="42">
        <f>'Premissas Adotadas'!$D$10</f>
        <v>0.8</v>
      </c>
      <c r="G16" s="42">
        <f>'Premissas Adotadas'!$D$10</f>
        <v>0.8</v>
      </c>
      <c r="H16" s="42">
        <f>'Premissas Adotadas'!$D$10</f>
        <v>0.8</v>
      </c>
      <c r="I16" s="42">
        <f>'Premissas Adotadas'!$D$10</f>
        <v>0.8</v>
      </c>
      <c r="J16" s="42">
        <f>'Premissas Adotadas'!$D$10</f>
        <v>0.8</v>
      </c>
      <c r="K16" s="42">
        <f>'Premissas Adotadas'!$D$10</f>
        <v>0.8</v>
      </c>
      <c r="L16" s="42">
        <f>'Premissas Adotadas'!$D$10</f>
        <v>0.8</v>
      </c>
      <c r="M16" s="42">
        <f>'Premissas Adotadas'!$D$10</f>
        <v>0.8</v>
      </c>
      <c r="N16" s="42">
        <f>'Premissas Adotadas'!$D$10</f>
        <v>0.8</v>
      </c>
      <c r="O16" s="42">
        <f>'Premissas Adotadas'!$D$10</f>
        <v>0.8</v>
      </c>
      <c r="P16" s="42">
        <f>'Premissas Adotadas'!$D$10</f>
        <v>0.8</v>
      </c>
      <c r="Q16" s="42">
        <f>'Premissas Adotadas'!$D$10</f>
        <v>0.8</v>
      </c>
      <c r="R16" s="42">
        <f>'Premissas Adotadas'!$D$10</f>
        <v>0.8</v>
      </c>
      <c r="S16" s="42">
        <f>'Premissas Adotadas'!$D$10</f>
        <v>0.8</v>
      </c>
      <c r="T16" s="42">
        <f>'Premissas Adotadas'!$D$10</f>
        <v>0.8</v>
      </c>
      <c r="U16" s="42">
        <f>'Premissas Adotadas'!$D$10</f>
        <v>0.8</v>
      </c>
      <c r="V16" s="42">
        <f>'Premissas Adotadas'!$D$10</f>
        <v>0.8</v>
      </c>
      <c r="W16" s="42">
        <f>'Premissas Adotadas'!$D$10</f>
        <v>0.8</v>
      </c>
      <c r="X16" s="42">
        <f>'Premissas Adotadas'!$D$10</f>
        <v>0.8</v>
      </c>
      <c r="Y16" s="42">
        <f>'Premissas Adotadas'!$D$10</f>
        <v>0.8</v>
      </c>
      <c r="Z16" s="42">
        <f>'Premissas Adotadas'!$D$10</f>
        <v>0.8</v>
      </c>
      <c r="AA16" s="42">
        <f>'Premissas Adotadas'!$D$10</f>
        <v>0.8</v>
      </c>
      <c r="AB16" s="42">
        <f>'Premissas Adotadas'!$D$10</f>
        <v>0.8</v>
      </c>
      <c r="AC16" s="42">
        <f>'Premissas Adotadas'!$D$10</f>
        <v>0.8</v>
      </c>
      <c r="AD16" s="42">
        <f>'Premissas Adotadas'!$D$10</f>
        <v>0.8</v>
      </c>
      <c r="AE16" s="42">
        <f>'Premissas Adotadas'!$D$10</f>
        <v>0.8</v>
      </c>
      <c r="AF16" s="42">
        <f>'Premissas Adotadas'!$D$10</f>
        <v>0.8</v>
      </c>
      <c r="AG16" s="42">
        <f>'Premissas Adotadas'!$D$10</f>
        <v>0.8</v>
      </c>
      <c r="AH16" s="42">
        <f>'Premissas Adotadas'!$D$10</f>
        <v>0.8</v>
      </c>
      <c r="AI16" s="42">
        <f>'Premissas Adotadas'!$D$10</f>
        <v>0.8</v>
      </c>
      <c r="AJ16" s="42">
        <f>'Premissas Adotadas'!$D$10</f>
        <v>0.8</v>
      </c>
      <c r="AK16" s="43">
        <f>'Premissas Adotadas'!$D$10</f>
        <v>0.8</v>
      </c>
    </row>
    <row r="17" spans="2:37" x14ac:dyDescent="0.25">
      <c r="B17" s="37" t="s">
        <v>97</v>
      </c>
      <c r="C17" s="47">
        <f t="shared" ref="C17:M17" si="25">C16*C12</f>
        <v>0</v>
      </c>
      <c r="D17" s="47">
        <f t="shared" si="25"/>
        <v>0</v>
      </c>
      <c r="E17" s="47">
        <f t="shared" si="25"/>
        <v>878.30103871576966</v>
      </c>
      <c r="F17" s="47">
        <f t="shared" si="25"/>
        <v>3165.048788164936</v>
      </c>
      <c r="G17" s="47">
        <f t="shared" si="25"/>
        <v>2379.32542650299</v>
      </c>
      <c r="H17" s="47">
        <f t="shared" si="25"/>
        <v>3214.8983065785333</v>
      </c>
      <c r="I17" s="47">
        <f t="shared" si="25"/>
        <v>1000.9466792571608</v>
      </c>
      <c r="J17" s="47">
        <f t="shared" si="25"/>
        <v>0</v>
      </c>
      <c r="K17" s="47">
        <f t="shared" si="25"/>
        <v>0</v>
      </c>
      <c r="L17" s="47">
        <f t="shared" si="25"/>
        <v>0</v>
      </c>
      <c r="M17" s="47">
        <f t="shared" si="25"/>
        <v>0</v>
      </c>
      <c r="N17" s="47">
        <f t="shared" ref="N17:AK17" si="26">N16*N12</f>
        <v>0</v>
      </c>
      <c r="O17" s="47">
        <f t="shared" si="26"/>
        <v>0</v>
      </c>
      <c r="P17" s="47">
        <f t="shared" si="26"/>
        <v>0</v>
      </c>
      <c r="Q17" s="47">
        <f t="shared" si="26"/>
        <v>0</v>
      </c>
      <c r="R17" s="47">
        <f t="shared" si="26"/>
        <v>0</v>
      </c>
      <c r="S17" s="47">
        <f t="shared" si="26"/>
        <v>0</v>
      </c>
      <c r="T17" s="47">
        <f t="shared" si="26"/>
        <v>0</v>
      </c>
      <c r="U17" s="47">
        <f t="shared" si="26"/>
        <v>0</v>
      </c>
      <c r="V17" s="47">
        <f t="shared" si="26"/>
        <v>0</v>
      </c>
      <c r="W17" s="47">
        <f t="shared" si="26"/>
        <v>0</v>
      </c>
      <c r="X17" s="47">
        <f t="shared" si="26"/>
        <v>0</v>
      </c>
      <c r="Y17" s="47">
        <f t="shared" si="26"/>
        <v>0</v>
      </c>
      <c r="Z17" s="47">
        <f t="shared" si="26"/>
        <v>0</v>
      </c>
      <c r="AA17" s="47">
        <f t="shared" si="26"/>
        <v>0</v>
      </c>
      <c r="AB17" s="47">
        <f t="shared" si="26"/>
        <v>0</v>
      </c>
      <c r="AC17" s="47">
        <f t="shared" si="26"/>
        <v>0</v>
      </c>
      <c r="AD17" s="47">
        <f t="shared" si="26"/>
        <v>0</v>
      </c>
      <c r="AE17" s="47">
        <f t="shared" si="26"/>
        <v>0</v>
      </c>
      <c r="AF17" s="47">
        <f t="shared" si="26"/>
        <v>0</v>
      </c>
      <c r="AG17" s="47">
        <f t="shared" si="26"/>
        <v>0</v>
      </c>
      <c r="AH17" s="47">
        <f t="shared" si="26"/>
        <v>0</v>
      </c>
      <c r="AI17" s="47">
        <f t="shared" si="26"/>
        <v>0</v>
      </c>
      <c r="AJ17" s="47">
        <f t="shared" si="26"/>
        <v>0</v>
      </c>
      <c r="AK17" s="48">
        <f t="shared" si="26"/>
        <v>0</v>
      </c>
    </row>
    <row r="18" spans="2:37" x14ac:dyDescent="0.25">
      <c r="B18" s="44" t="s">
        <v>98</v>
      </c>
      <c r="C18" s="45">
        <f>C17</f>
        <v>0</v>
      </c>
      <c r="D18" s="45">
        <f>D17+C18</f>
        <v>0</v>
      </c>
      <c r="E18" s="45">
        <f t="shared" ref="E18" si="27">E17+D18</f>
        <v>878.30103871576966</v>
      </c>
      <c r="F18" s="45">
        <f t="shared" ref="F18" si="28">F17+E18</f>
        <v>4043.3498268807057</v>
      </c>
      <c r="G18" s="45">
        <f t="shared" ref="G18" si="29">G17+F18</f>
        <v>6422.6752533836952</v>
      </c>
      <c r="H18" s="45">
        <f t="shared" ref="H18" si="30">H17+G18</f>
        <v>9637.5735599622276</v>
      </c>
      <c r="I18" s="45">
        <f t="shared" ref="I18" si="31">I17+H18</f>
        <v>10638.520239219388</v>
      </c>
      <c r="J18" s="45">
        <f t="shared" ref="J18" si="32">J17+I18</f>
        <v>10638.520239219388</v>
      </c>
      <c r="K18" s="45">
        <f t="shared" ref="K18" si="33">K17+J18</f>
        <v>10638.520239219388</v>
      </c>
      <c r="L18" s="45">
        <f t="shared" ref="L18" si="34">L17+K18</f>
        <v>10638.520239219388</v>
      </c>
      <c r="M18" s="45">
        <f t="shared" ref="M18" si="35">M17+L18</f>
        <v>10638.520239219388</v>
      </c>
      <c r="N18" s="45">
        <f t="shared" ref="N18" si="36">N17+M18</f>
        <v>10638.520239219388</v>
      </c>
      <c r="O18" s="45">
        <f t="shared" ref="O18" si="37">O17+N18</f>
        <v>10638.520239219388</v>
      </c>
      <c r="P18" s="45">
        <f t="shared" ref="P18" si="38">P17+O18</f>
        <v>10638.520239219388</v>
      </c>
      <c r="Q18" s="45">
        <f t="shared" ref="Q18" si="39">Q17+P18</f>
        <v>10638.520239219388</v>
      </c>
      <c r="R18" s="45">
        <f t="shared" ref="R18" si="40">R17+Q18</f>
        <v>10638.520239219388</v>
      </c>
      <c r="S18" s="45">
        <f t="shared" ref="S18" si="41">S17+R18</f>
        <v>10638.520239219388</v>
      </c>
      <c r="T18" s="45">
        <f t="shared" ref="T18" si="42">T17+S18</f>
        <v>10638.520239219388</v>
      </c>
      <c r="U18" s="45">
        <f t="shared" ref="U18" si="43">U17+T18</f>
        <v>10638.520239219388</v>
      </c>
      <c r="V18" s="45">
        <f t="shared" ref="V18" si="44">V17+U18</f>
        <v>10638.520239219388</v>
      </c>
      <c r="W18" s="45">
        <f t="shared" ref="W18" si="45">W17+V18</f>
        <v>10638.520239219388</v>
      </c>
      <c r="X18" s="45">
        <f t="shared" ref="X18" si="46">X17+W18</f>
        <v>10638.520239219388</v>
      </c>
      <c r="Y18" s="45">
        <f t="shared" ref="Y18" si="47">Y17+X18</f>
        <v>10638.520239219388</v>
      </c>
      <c r="Z18" s="45">
        <f t="shared" ref="Z18" si="48">Z17+Y18</f>
        <v>10638.520239219388</v>
      </c>
      <c r="AA18" s="45">
        <f t="shared" ref="AA18" si="49">AA17+Z18</f>
        <v>10638.520239219388</v>
      </c>
      <c r="AB18" s="45">
        <f t="shared" ref="AB18" si="50">AB17+AA18</f>
        <v>10638.520239219388</v>
      </c>
      <c r="AC18" s="45">
        <f t="shared" ref="AC18" si="51">AC17+AB18</f>
        <v>10638.520239219388</v>
      </c>
      <c r="AD18" s="45">
        <f t="shared" ref="AD18" si="52">AD17+AC18</f>
        <v>10638.520239219388</v>
      </c>
      <c r="AE18" s="45">
        <f t="shared" ref="AE18" si="53">AE17+AD18</f>
        <v>10638.520239219388</v>
      </c>
      <c r="AF18" s="45">
        <f t="shared" ref="AF18" si="54">AF17+AE18</f>
        <v>10638.520239219388</v>
      </c>
      <c r="AG18" s="45">
        <f t="shared" ref="AG18" si="55">AG17+AF18</f>
        <v>10638.520239219388</v>
      </c>
      <c r="AH18" s="45">
        <f t="shared" ref="AH18" si="56">AH17+AG18</f>
        <v>10638.520239219388</v>
      </c>
      <c r="AI18" s="45">
        <f t="shared" ref="AI18" si="57">AI17+AH18</f>
        <v>10638.520239219388</v>
      </c>
      <c r="AJ18" s="45">
        <f t="shared" ref="AJ18" si="58">AJ17+AI18</f>
        <v>10638.520239219388</v>
      </c>
      <c r="AK18" s="46">
        <f t="shared" ref="AK18" si="59">AK17+AJ18</f>
        <v>10638.520239219388</v>
      </c>
    </row>
    <row r="19" spans="2:37" x14ac:dyDescent="0.25">
      <c r="B19" s="58" t="s">
        <v>19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1"/>
    </row>
    <row r="20" spans="2:37" x14ac:dyDescent="0.25">
      <c r="B20" s="40" t="s">
        <v>61</v>
      </c>
      <c r="C20" s="41">
        <f>'Premissas Adotadas'!$E$17</f>
        <v>0.5</v>
      </c>
      <c r="D20" s="42">
        <f>'Premissas Adotadas'!$E$17</f>
        <v>0.5</v>
      </c>
      <c r="E20" s="41">
        <f>'Premissas Adotadas'!$E$17</f>
        <v>0.5</v>
      </c>
      <c r="F20" s="42">
        <f>'Premissas Adotadas'!$E$17</f>
        <v>0.5</v>
      </c>
      <c r="G20" s="42">
        <f>'Premissas Adotadas'!$E$17</f>
        <v>0.5</v>
      </c>
      <c r="H20" s="42">
        <f>'Premissas Adotadas'!$E$17</f>
        <v>0.5</v>
      </c>
      <c r="I20" s="42">
        <f>'Premissas Adotadas'!$E$17</f>
        <v>0.5</v>
      </c>
      <c r="J20" s="42">
        <f>'Premissas Adotadas'!$E$17</f>
        <v>0.5</v>
      </c>
      <c r="K20" s="42">
        <f>'Premissas Adotadas'!$E$17</f>
        <v>0.5</v>
      </c>
      <c r="L20" s="42">
        <f>'Premissas Adotadas'!$E$17</f>
        <v>0.5</v>
      </c>
      <c r="M20" s="42">
        <f>'Premissas Adotadas'!$E$17</f>
        <v>0.5</v>
      </c>
      <c r="N20" s="42">
        <f>'Premissas Adotadas'!$E$17</f>
        <v>0.5</v>
      </c>
      <c r="O20" s="42">
        <f>'Premissas Adotadas'!$E$17</f>
        <v>0.5</v>
      </c>
      <c r="P20" s="42">
        <f>'Premissas Adotadas'!$E$17</f>
        <v>0.5</v>
      </c>
      <c r="Q20" s="42">
        <f>'Premissas Adotadas'!$E$17</f>
        <v>0.5</v>
      </c>
      <c r="R20" s="42">
        <f>'Premissas Adotadas'!$E$17</f>
        <v>0.5</v>
      </c>
      <c r="S20" s="42">
        <f>'Premissas Adotadas'!$E$17</f>
        <v>0.5</v>
      </c>
      <c r="T20" s="42">
        <f>'Premissas Adotadas'!$E$17</f>
        <v>0.5</v>
      </c>
      <c r="U20" s="42">
        <f>'Premissas Adotadas'!$E$17</f>
        <v>0.5</v>
      </c>
      <c r="V20" s="42">
        <f>'Premissas Adotadas'!$E$17</f>
        <v>0.5</v>
      </c>
      <c r="W20" s="42">
        <f>'Premissas Adotadas'!$E$17</f>
        <v>0.5</v>
      </c>
      <c r="X20" s="42">
        <f>'Premissas Adotadas'!$E$17</f>
        <v>0.5</v>
      </c>
      <c r="Y20" s="42">
        <f>'Premissas Adotadas'!$E$17</f>
        <v>0.5</v>
      </c>
      <c r="Z20" s="42">
        <f>'Premissas Adotadas'!$E$17</f>
        <v>0.5</v>
      </c>
      <c r="AA20" s="42">
        <f>'Premissas Adotadas'!$E$17</f>
        <v>0.5</v>
      </c>
      <c r="AB20" s="42">
        <f>'Premissas Adotadas'!$E$17</f>
        <v>0.5</v>
      </c>
      <c r="AC20" s="42">
        <f>'Premissas Adotadas'!$E$17</f>
        <v>0.5</v>
      </c>
      <c r="AD20" s="42">
        <f>'Premissas Adotadas'!$E$17</f>
        <v>0.5</v>
      </c>
      <c r="AE20" s="42">
        <f>'Premissas Adotadas'!$E$17</f>
        <v>0.5</v>
      </c>
      <c r="AF20" s="42">
        <f>'Premissas Adotadas'!$E$17</f>
        <v>0.5</v>
      </c>
      <c r="AG20" s="42">
        <f>'Premissas Adotadas'!$E$17</f>
        <v>0.5</v>
      </c>
      <c r="AH20" s="42">
        <f>'Premissas Adotadas'!$E$17</f>
        <v>0.5</v>
      </c>
      <c r="AI20" s="42">
        <f>'Premissas Adotadas'!$E$17</f>
        <v>0.5</v>
      </c>
      <c r="AJ20" s="42">
        <f>'Premissas Adotadas'!$E$17</f>
        <v>0.5</v>
      </c>
      <c r="AK20" s="43">
        <f>'Premissas Adotadas'!$E$17</f>
        <v>0.5</v>
      </c>
    </row>
    <row r="21" spans="2:37" x14ac:dyDescent="0.25">
      <c r="B21" s="49" t="s">
        <v>99</v>
      </c>
      <c r="C21" s="47">
        <f>C20*C17*'Premissas Adotadas'!$F$10</f>
        <v>0</v>
      </c>
      <c r="D21" s="47">
        <f>D20*D17*'Premissas Adotadas'!$F$10</f>
        <v>0</v>
      </c>
      <c r="E21" s="47">
        <f>E20*E17*'Premissas Adotadas'!$F$10</f>
        <v>373.27794145420211</v>
      </c>
      <c r="F21" s="47">
        <f>F20*F17*'Premissas Adotadas'!$F$10</f>
        <v>1345.1457349700977</v>
      </c>
      <c r="G21" s="47">
        <f>G20*G17*'Premissas Adotadas'!$F$10</f>
        <v>1011.2133062637707</v>
      </c>
      <c r="H21" s="47">
        <f>H20*H17*'Premissas Adotadas'!$F$10</f>
        <v>1366.3317802958766</v>
      </c>
      <c r="I21" s="47">
        <f>I20*I17*'Premissas Adotadas'!$F$10</f>
        <v>425.40233868429334</v>
      </c>
      <c r="J21" s="47">
        <f>J20*J17*'Premissas Adotadas'!$F$10</f>
        <v>0</v>
      </c>
      <c r="K21" s="47">
        <f>K20*K17*'Premissas Adotadas'!$F$10</f>
        <v>0</v>
      </c>
      <c r="L21" s="47">
        <f>L20*L17*'Premissas Adotadas'!$F$10</f>
        <v>0</v>
      </c>
      <c r="M21" s="47">
        <f>M20*M17*'Premissas Adotadas'!$F$10</f>
        <v>0</v>
      </c>
      <c r="N21" s="47">
        <f>N20*N17*'Premissas Adotadas'!$F$10</f>
        <v>0</v>
      </c>
      <c r="O21" s="47">
        <f>O20*O17*'Premissas Adotadas'!$F$10</f>
        <v>0</v>
      </c>
      <c r="P21" s="47">
        <f>P20*P17*'Premissas Adotadas'!$F$10</f>
        <v>0</v>
      </c>
      <c r="Q21" s="47">
        <f>Q20*Q17*'Premissas Adotadas'!$F$10</f>
        <v>0</v>
      </c>
      <c r="R21" s="47">
        <f>R20*R17*'Premissas Adotadas'!$F$10</f>
        <v>0</v>
      </c>
      <c r="S21" s="47">
        <f>S20*S17*'Premissas Adotadas'!$F$10</f>
        <v>0</v>
      </c>
      <c r="T21" s="47">
        <f>T20*T17*'Premissas Adotadas'!$F$10</f>
        <v>0</v>
      </c>
      <c r="U21" s="47">
        <f>U20*U17*'Premissas Adotadas'!$F$10</f>
        <v>0</v>
      </c>
      <c r="V21" s="47">
        <f>V20*V17*'Premissas Adotadas'!$F$10</f>
        <v>0</v>
      </c>
      <c r="W21" s="47">
        <f>W20*W17*'Premissas Adotadas'!$F$10</f>
        <v>0</v>
      </c>
      <c r="X21" s="47">
        <f>X20*X17*'Premissas Adotadas'!$F$10</f>
        <v>0</v>
      </c>
      <c r="Y21" s="47">
        <f>Y20*Y17*'Premissas Adotadas'!$F$10</f>
        <v>0</v>
      </c>
      <c r="Z21" s="47">
        <f>Z20*Z17*'Premissas Adotadas'!$F$10</f>
        <v>0</v>
      </c>
      <c r="AA21" s="47">
        <f>AA20*AA17*'Premissas Adotadas'!$F$10</f>
        <v>0</v>
      </c>
      <c r="AB21" s="47">
        <f>AB20*AB17*'Premissas Adotadas'!$F$10</f>
        <v>0</v>
      </c>
      <c r="AC21" s="47">
        <f>AC20*AC17*'Premissas Adotadas'!$F$10</f>
        <v>0</v>
      </c>
      <c r="AD21" s="47">
        <f>AD20*AD17*'Premissas Adotadas'!$F$10</f>
        <v>0</v>
      </c>
      <c r="AE21" s="47">
        <f>AE20*AE17*'Premissas Adotadas'!$F$10</f>
        <v>0</v>
      </c>
      <c r="AF21" s="47">
        <f>AF20*AF17*'Premissas Adotadas'!$F$10</f>
        <v>0</v>
      </c>
      <c r="AG21" s="47">
        <f>AG20*AG17*'Premissas Adotadas'!$F$10</f>
        <v>0</v>
      </c>
      <c r="AH21" s="47">
        <f>AH20*AH17*'Premissas Adotadas'!$F$10</f>
        <v>0</v>
      </c>
      <c r="AI21" s="47">
        <f>AI20*AI17*'Premissas Adotadas'!$F$10</f>
        <v>0</v>
      </c>
      <c r="AJ21" s="47">
        <f>AJ20*AJ17*'Premissas Adotadas'!$F$10</f>
        <v>0</v>
      </c>
      <c r="AK21" s="48">
        <f>AK20*AK17*'Premissas Adotadas'!$F$10</f>
        <v>0</v>
      </c>
    </row>
    <row r="22" spans="2:37" x14ac:dyDescent="0.25">
      <c r="B22" s="44" t="s">
        <v>100</v>
      </c>
      <c r="C22" s="45">
        <f>C21</f>
        <v>0</v>
      </c>
      <c r="D22" s="45">
        <f>C22+D21</f>
        <v>0</v>
      </c>
      <c r="E22" s="45">
        <f t="shared" ref="E22:M22" si="60">D22+E21</f>
        <v>373.27794145420211</v>
      </c>
      <c r="F22" s="45">
        <f t="shared" si="60"/>
        <v>1718.4236764242999</v>
      </c>
      <c r="G22" s="45">
        <f t="shared" si="60"/>
        <v>2729.6369826880705</v>
      </c>
      <c r="H22" s="45">
        <f t="shared" si="60"/>
        <v>4095.9687629839473</v>
      </c>
      <c r="I22" s="45">
        <f t="shared" si="60"/>
        <v>4521.371101668241</v>
      </c>
      <c r="J22" s="45">
        <f t="shared" si="60"/>
        <v>4521.371101668241</v>
      </c>
      <c r="K22" s="45">
        <f t="shared" si="60"/>
        <v>4521.371101668241</v>
      </c>
      <c r="L22" s="45">
        <f t="shared" si="60"/>
        <v>4521.371101668241</v>
      </c>
      <c r="M22" s="45">
        <f t="shared" si="60"/>
        <v>4521.371101668241</v>
      </c>
      <c r="N22" s="45">
        <f t="shared" ref="N22" si="61">M22+N21</f>
        <v>4521.371101668241</v>
      </c>
      <c r="O22" s="45">
        <f t="shared" ref="O22" si="62">N22+O21</f>
        <v>4521.371101668241</v>
      </c>
      <c r="P22" s="45">
        <f t="shared" ref="P22" si="63">O22+P21</f>
        <v>4521.371101668241</v>
      </c>
      <c r="Q22" s="45">
        <f t="shared" ref="Q22" si="64">P22+Q21</f>
        <v>4521.371101668241</v>
      </c>
      <c r="R22" s="45">
        <f t="shared" ref="R22" si="65">Q22+R21</f>
        <v>4521.371101668241</v>
      </c>
      <c r="S22" s="45">
        <f t="shared" ref="S22" si="66">R22+S21</f>
        <v>4521.371101668241</v>
      </c>
      <c r="T22" s="45">
        <f t="shared" ref="T22" si="67">S22+T21</f>
        <v>4521.371101668241</v>
      </c>
      <c r="U22" s="45">
        <f t="shared" ref="U22" si="68">T22+U21</f>
        <v>4521.371101668241</v>
      </c>
      <c r="V22" s="45">
        <f t="shared" ref="V22" si="69">U22+V21</f>
        <v>4521.371101668241</v>
      </c>
      <c r="W22" s="45">
        <f t="shared" ref="W22" si="70">V22+W21</f>
        <v>4521.371101668241</v>
      </c>
      <c r="X22" s="45">
        <f t="shared" ref="X22" si="71">W22+X21</f>
        <v>4521.371101668241</v>
      </c>
      <c r="Y22" s="45">
        <f t="shared" ref="Y22" si="72">X22+Y21</f>
        <v>4521.371101668241</v>
      </c>
      <c r="Z22" s="45">
        <f t="shared" ref="Z22" si="73">Y22+Z21</f>
        <v>4521.371101668241</v>
      </c>
      <c r="AA22" s="45">
        <f t="shared" ref="AA22" si="74">Z22+AA21</f>
        <v>4521.371101668241</v>
      </c>
      <c r="AB22" s="45">
        <f t="shared" ref="AB22" si="75">AA22+AB21</f>
        <v>4521.371101668241</v>
      </c>
      <c r="AC22" s="45">
        <f t="shared" ref="AC22" si="76">AB22+AC21</f>
        <v>4521.371101668241</v>
      </c>
      <c r="AD22" s="45">
        <f t="shared" ref="AD22" si="77">AC22+AD21</f>
        <v>4521.371101668241</v>
      </c>
      <c r="AE22" s="45">
        <f t="shared" ref="AE22" si="78">AD22+AE21</f>
        <v>4521.371101668241</v>
      </c>
      <c r="AF22" s="45">
        <f t="shared" ref="AF22" si="79">AE22+AF21</f>
        <v>4521.371101668241</v>
      </c>
      <c r="AG22" s="45">
        <f t="shared" ref="AG22" si="80">AF22+AG21</f>
        <v>4521.371101668241</v>
      </c>
      <c r="AH22" s="45">
        <f t="shared" ref="AH22" si="81">AG22+AH21</f>
        <v>4521.371101668241</v>
      </c>
      <c r="AI22" s="45">
        <f t="shared" ref="AI22" si="82">AH22+AI21</f>
        <v>4521.371101668241</v>
      </c>
      <c r="AJ22" s="45">
        <f t="shared" ref="AJ22" si="83">AI22+AJ21</f>
        <v>4521.371101668241</v>
      </c>
      <c r="AK22" s="46">
        <f t="shared" ref="AK22" si="84">AJ22+AK21</f>
        <v>4521.371101668241</v>
      </c>
    </row>
    <row r="23" spans="2:37" x14ac:dyDescent="0.25">
      <c r="B23" s="58" t="s">
        <v>20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1"/>
    </row>
    <row r="24" spans="2:37" x14ac:dyDescent="0.25">
      <c r="B24" s="40" t="s">
        <v>62</v>
      </c>
      <c r="C24" s="42">
        <f>'Premissas Adotadas'!$E$18</f>
        <v>0.5</v>
      </c>
      <c r="D24" s="42">
        <f>'Premissas Adotadas'!$E$18</f>
        <v>0.5</v>
      </c>
      <c r="E24" s="42">
        <f>'Premissas Adotadas'!$E$18</f>
        <v>0.5</v>
      </c>
      <c r="F24" s="42">
        <f>'Premissas Adotadas'!$E$18</f>
        <v>0.5</v>
      </c>
      <c r="G24" s="42">
        <f>'Premissas Adotadas'!$E$18</f>
        <v>0.5</v>
      </c>
      <c r="H24" s="42">
        <f>'Premissas Adotadas'!$E$18</f>
        <v>0.5</v>
      </c>
      <c r="I24" s="42">
        <f>'Premissas Adotadas'!$E$18</f>
        <v>0.5</v>
      </c>
      <c r="J24" s="42">
        <f>'Premissas Adotadas'!$E$18</f>
        <v>0.5</v>
      </c>
      <c r="K24" s="42">
        <f>'Premissas Adotadas'!$E$18</f>
        <v>0.5</v>
      </c>
      <c r="L24" s="42">
        <f>'Premissas Adotadas'!$E$18</f>
        <v>0.5</v>
      </c>
      <c r="M24" s="42">
        <f>'Premissas Adotadas'!$E$18</f>
        <v>0.5</v>
      </c>
      <c r="N24" s="42">
        <f>'Premissas Adotadas'!$E$18</f>
        <v>0.5</v>
      </c>
      <c r="O24" s="42">
        <f>'Premissas Adotadas'!$E$18</f>
        <v>0.5</v>
      </c>
      <c r="P24" s="42">
        <f>'Premissas Adotadas'!$E$18</f>
        <v>0.5</v>
      </c>
      <c r="Q24" s="42">
        <f>'Premissas Adotadas'!$E$18</f>
        <v>0.5</v>
      </c>
      <c r="R24" s="42">
        <f>'Premissas Adotadas'!$E$18</f>
        <v>0.5</v>
      </c>
      <c r="S24" s="42">
        <f>'Premissas Adotadas'!$E$18</f>
        <v>0.5</v>
      </c>
      <c r="T24" s="42">
        <f>'Premissas Adotadas'!$E$18</f>
        <v>0.5</v>
      </c>
      <c r="U24" s="42">
        <f>'Premissas Adotadas'!$E$18</f>
        <v>0.5</v>
      </c>
      <c r="V24" s="42">
        <f>'Premissas Adotadas'!$E$18</f>
        <v>0.5</v>
      </c>
      <c r="W24" s="42">
        <f>'Premissas Adotadas'!$E$18</f>
        <v>0.5</v>
      </c>
      <c r="X24" s="42">
        <f>'Premissas Adotadas'!$E$18</f>
        <v>0.5</v>
      </c>
      <c r="Y24" s="42">
        <f>'Premissas Adotadas'!$E$18</f>
        <v>0.5</v>
      </c>
      <c r="Z24" s="42">
        <f>'Premissas Adotadas'!$E$18</f>
        <v>0.5</v>
      </c>
      <c r="AA24" s="42">
        <f>'Premissas Adotadas'!$E$18</f>
        <v>0.5</v>
      </c>
      <c r="AB24" s="42">
        <f>'Premissas Adotadas'!$E$18</f>
        <v>0.5</v>
      </c>
      <c r="AC24" s="42">
        <f>'Premissas Adotadas'!$E$18</f>
        <v>0.5</v>
      </c>
      <c r="AD24" s="42">
        <f>'Premissas Adotadas'!$E$18</f>
        <v>0.5</v>
      </c>
      <c r="AE24" s="42">
        <f>'Premissas Adotadas'!$E$18</f>
        <v>0.5</v>
      </c>
      <c r="AF24" s="42">
        <f>'Premissas Adotadas'!$E$18</f>
        <v>0.5</v>
      </c>
      <c r="AG24" s="42">
        <f>'Premissas Adotadas'!$E$18</f>
        <v>0.5</v>
      </c>
      <c r="AH24" s="42">
        <f>'Premissas Adotadas'!$E$18</f>
        <v>0.5</v>
      </c>
      <c r="AI24" s="42">
        <f>'Premissas Adotadas'!$E$18</f>
        <v>0.5</v>
      </c>
      <c r="AJ24" s="42">
        <f>'Premissas Adotadas'!$E$18</f>
        <v>0.5</v>
      </c>
      <c r="AK24" s="43">
        <f>'Premissas Adotadas'!$E$18</f>
        <v>0.5</v>
      </c>
    </row>
    <row r="25" spans="2:37" x14ac:dyDescent="0.25">
      <c r="B25" s="49" t="s">
        <v>101</v>
      </c>
      <c r="C25" s="47">
        <f>C24*C17*'Premissas Adotadas'!$F$10</f>
        <v>0</v>
      </c>
      <c r="D25" s="47">
        <f>D24*D17*'Premissas Adotadas'!$F$10</f>
        <v>0</v>
      </c>
      <c r="E25" s="47">
        <f>E24*E17*'Premissas Adotadas'!$F$10</f>
        <v>373.27794145420211</v>
      </c>
      <c r="F25" s="47">
        <f>F24*F17*'Premissas Adotadas'!$F$10</f>
        <v>1345.1457349700977</v>
      </c>
      <c r="G25" s="47">
        <f>G24*G17*'Premissas Adotadas'!$F$10</f>
        <v>1011.2133062637707</v>
      </c>
      <c r="H25" s="47">
        <f>H24*H17*'Premissas Adotadas'!$F$10</f>
        <v>1366.3317802958766</v>
      </c>
      <c r="I25" s="47">
        <f>I24*I17*'Premissas Adotadas'!$F$10</f>
        <v>425.40233868429334</v>
      </c>
      <c r="J25" s="47">
        <f>J24*J17*'Premissas Adotadas'!$F$10</f>
        <v>0</v>
      </c>
      <c r="K25" s="47">
        <f>K24*K17*'Premissas Adotadas'!$F$10</f>
        <v>0</v>
      </c>
      <c r="L25" s="47">
        <f>L24*L17*'Premissas Adotadas'!$F$10</f>
        <v>0</v>
      </c>
      <c r="M25" s="47">
        <f>M24*M17*'Premissas Adotadas'!$F$10</f>
        <v>0</v>
      </c>
      <c r="N25" s="47">
        <f>N24*N17*'Premissas Adotadas'!$F$10</f>
        <v>0</v>
      </c>
      <c r="O25" s="47">
        <f>O24*O17*'Premissas Adotadas'!$F$10</f>
        <v>0</v>
      </c>
      <c r="P25" s="47">
        <f>P24*P17*'Premissas Adotadas'!$F$10</f>
        <v>0</v>
      </c>
      <c r="Q25" s="47">
        <f>Q24*Q17*'Premissas Adotadas'!$F$10</f>
        <v>0</v>
      </c>
      <c r="R25" s="47">
        <f>R24*R17*'Premissas Adotadas'!$F$10</f>
        <v>0</v>
      </c>
      <c r="S25" s="47">
        <f>S24*S17*'Premissas Adotadas'!$F$10</f>
        <v>0</v>
      </c>
      <c r="T25" s="47">
        <f>T24*T17*'Premissas Adotadas'!$F$10</f>
        <v>0</v>
      </c>
      <c r="U25" s="47">
        <f>U24*U17*'Premissas Adotadas'!$F$10</f>
        <v>0</v>
      </c>
      <c r="V25" s="47">
        <f>V24*V17*'Premissas Adotadas'!$F$10</f>
        <v>0</v>
      </c>
      <c r="W25" s="47">
        <f>W24*W17*'Premissas Adotadas'!$F$10</f>
        <v>0</v>
      </c>
      <c r="X25" s="47">
        <f>X24*X17*'Premissas Adotadas'!$F$10</f>
        <v>0</v>
      </c>
      <c r="Y25" s="47">
        <f>Y24*Y17*'Premissas Adotadas'!$F$10</f>
        <v>0</v>
      </c>
      <c r="Z25" s="47">
        <f>Z24*Z17*'Premissas Adotadas'!$F$10</f>
        <v>0</v>
      </c>
      <c r="AA25" s="47">
        <f>AA24*AA17*'Premissas Adotadas'!$F$10</f>
        <v>0</v>
      </c>
      <c r="AB25" s="47">
        <f>AB24*AB17*'Premissas Adotadas'!$F$10</f>
        <v>0</v>
      </c>
      <c r="AC25" s="47">
        <f>AC24*AC17*'Premissas Adotadas'!$F$10</f>
        <v>0</v>
      </c>
      <c r="AD25" s="47">
        <f>AD24*AD17*'Premissas Adotadas'!$F$10</f>
        <v>0</v>
      </c>
      <c r="AE25" s="47">
        <f>AE24*AE17*'Premissas Adotadas'!$F$10</f>
        <v>0</v>
      </c>
      <c r="AF25" s="47">
        <f>AF24*AF17*'Premissas Adotadas'!$F$10</f>
        <v>0</v>
      </c>
      <c r="AG25" s="47">
        <f>AG24*AG17*'Premissas Adotadas'!$F$10</f>
        <v>0</v>
      </c>
      <c r="AH25" s="47">
        <f>AH24*AH17*'Premissas Adotadas'!$F$10</f>
        <v>0</v>
      </c>
      <c r="AI25" s="47">
        <f>AI24*AI17*'Premissas Adotadas'!$F$10</f>
        <v>0</v>
      </c>
      <c r="AJ25" s="47">
        <f>AJ24*AJ17*'Premissas Adotadas'!$F$10</f>
        <v>0</v>
      </c>
      <c r="AK25" s="48">
        <f>AK24*AK17*'Premissas Adotadas'!$F$10</f>
        <v>0</v>
      </c>
    </row>
    <row r="26" spans="2:37" x14ac:dyDescent="0.25">
      <c r="B26" s="44" t="s">
        <v>102</v>
      </c>
      <c r="C26" s="45">
        <f>C25</f>
        <v>0</v>
      </c>
      <c r="D26" s="45">
        <f>C26+D25</f>
        <v>0</v>
      </c>
      <c r="E26" s="45">
        <f t="shared" ref="E26:L26" si="85">D26+E25</f>
        <v>373.27794145420211</v>
      </c>
      <c r="F26" s="45">
        <f t="shared" si="85"/>
        <v>1718.4236764242999</v>
      </c>
      <c r="G26" s="45">
        <f t="shared" si="85"/>
        <v>2729.6369826880705</v>
      </c>
      <c r="H26" s="45">
        <f t="shared" si="85"/>
        <v>4095.9687629839473</v>
      </c>
      <c r="I26" s="45">
        <f t="shared" si="85"/>
        <v>4521.371101668241</v>
      </c>
      <c r="J26" s="45">
        <f t="shared" si="85"/>
        <v>4521.371101668241</v>
      </c>
      <c r="K26" s="45">
        <f t="shared" si="85"/>
        <v>4521.371101668241</v>
      </c>
      <c r="L26" s="45">
        <f t="shared" si="85"/>
        <v>4521.371101668241</v>
      </c>
      <c r="M26" s="45">
        <f>L26+M25</f>
        <v>4521.371101668241</v>
      </c>
      <c r="N26" s="45">
        <f t="shared" ref="N26:AK26" si="86">M26+N25</f>
        <v>4521.371101668241</v>
      </c>
      <c r="O26" s="45">
        <f t="shared" si="86"/>
        <v>4521.371101668241</v>
      </c>
      <c r="P26" s="45">
        <f t="shared" si="86"/>
        <v>4521.371101668241</v>
      </c>
      <c r="Q26" s="45">
        <f t="shared" si="86"/>
        <v>4521.371101668241</v>
      </c>
      <c r="R26" s="45">
        <f t="shared" si="86"/>
        <v>4521.371101668241</v>
      </c>
      <c r="S26" s="45">
        <f t="shared" si="86"/>
        <v>4521.371101668241</v>
      </c>
      <c r="T26" s="45">
        <f t="shared" si="86"/>
        <v>4521.371101668241</v>
      </c>
      <c r="U26" s="45">
        <f t="shared" si="86"/>
        <v>4521.371101668241</v>
      </c>
      <c r="V26" s="45">
        <f t="shared" si="86"/>
        <v>4521.371101668241</v>
      </c>
      <c r="W26" s="45">
        <f t="shared" si="86"/>
        <v>4521.371101668241</v>
      </c>
      <c r="X26" s="45">
        <f t="shared" si="86"/>
        <v>4521.371101668241</v>
      </c>
      <c r="Y26" s="45">
        <f t="shared" si="86"/>
        <v>4521.371101668241</v>
      </c>
      <c r="Z26" s="45">
        <f t="shared" si="86"/>
        <v>4521.371101668241</v>
      </c>
      <c r="AA26" s="45">
        <f t="shared" si="86"/>
        <v>4521.371101668241</v>
      </c>
      <c r="AB26" s="45">
        <f t="shared" si="86"/>
        <v>4521.371101668241</v>
      </c>
      <c r="AC26" s="45">
        <f t="shared" si="86"/>
        <v>4521.371101668241</v>
      </c>
      <c r="AD26" s="45">
        <f t="shared" si="86"/>
        <v>4521.371101668241</v>
      </c>
      <c r="AE26" s="45">
        <f t="shared" si="86"/>
        <v>4521.371101668241</v>
      </c>
      <c r="AF26" s="45">
        <f t="shared" si="86"/>
        <v>4521.371101668241</v>
      </c>
      <c r="AG26" s="45">
        <f t="shared" si="86"/>
        <v>4521.371101668241</v>
      </c>
      <c r="AH26" s="45">
        <f t="shared" si="86"/>
        <v>4521.371101668241</v>
      </c>
      <c r="AI26" s="45">
        <f t="shared" si="86"/>
        <v>4521.371101668241</v>
      </c>
      <c r="AJ26" s="45">
        <f t="shared" si="86"/>
        <v>4521.371101668241</v>
      </c>
      <c r="AK26" s="46">
        <f t="shared" si="86"/>
        <v>4521.371101668241</v>
      </c>
    </row>
    <row r="27" spans="2:37" x14ac:dyDescent="0.25">
      <c r="B27" s="59" t="s">
        <v>142</v>
      </c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1"/>
    </row>
    <row r="28" spans="2:37" x14ac:dyDescent="0.25">
      <c r="B28" s="40" t="s">
        <v>143</v>
      </c>
      <c r="C28" s="42">
        <f>'Premissas Adotadas'!$E$19</f>
        <v>0.5</v>
      </c>
      <c r="D28" s="42">
        <f>'Premissas Adotadas'!$E$19</f>
        <v>0.5</v>
      </c>
      <c r="E28" s="42">
        <f>'Premissas Adotadas'!$E$19</f>
        <v>0.5</v>
      </c>
      <c r="F28" s="42">
        <f>'Premissas Adotadas'!$E$19</f>
        <v>0.5</v>
      </c>
      <c r="G28" s="42">
        <f>'Premissas Adotadas'!$E$19</f>
        <v>0.5</v>
      </c>
      <c r="H28" s="42">
        <f>'Premissas Adotadas'!$E$19</f>
        <v>0.5</v>
      </c>
      <c r="I28" s="42">
        <f>'Premissas Adotadas'!$E$19</f>
        <v>0.5</v>
      </c>
      <c r="J28" s="42">
        <f>'Premissas Adotadas'!$E$19</f>
        <v>0.5</v>
      </c>
      <c r="K28" s="42">
        <f>'Premissas Adotadas'!$E$19</f>
        <v>0.5</v>
      </c>
      <c r="L28" s="42">
        <f>'Premissas Adotadas'!$E$19</f>
        <v>0.5</v>
      </c>
      <c r="M28" s="42">
        <f>'Premissas Adotadas'!$E$19</f>
        <v>0.5</v>
      </c>
      <c r="N28" s="42">
        <f>'Premissas Adotadas'!$E$19</f>
        <v>0.5</v>
      </c>
      <c r="O28" s="42">
        <f>'Premissas Adotadas'!$E$19</f>
        <v>0.5</v>
      </c>
      <c r="P28" s="42">
        <f>'Premissas Adotadas'!$E$19</f>
        <v>0.5</v>
      </c>
      <c r="Q28" s="42">
        <f>'Premissas Adotadas'!$E$19</f>
        <v>0.5</v>
      </c>
      <c r="R28" s="42">
        <f>'Premissas Adotadas'!$E$19</f>
        <v>0.5</v>
      </c>
      <c r="S28" s="42">
        <f>'Premissas Adotadas'!$E$19</f>
        <v>0.5</v>
      </c>
      <c r="T28" s="42">
        <f>'Premissas Adotadas'!$E$19</f>
        <v>0.5</v>
      </c>
      <c r="U28" s="42">
        <f>'Premissas Adotadas'!$E$19</f>
        <v>0.5</v>
      </c>
      <c r="V28" s="42">
        <f>'Premissas Adotadas'!$E$19</f>
        <v>0.5</v>
      </c>
      <c r="W28" s="42">
        <f>'Premissas Adotadas'!$E$19</f>
        <v>0.5</v>
      </c>
      <c r="X28" s="42">
        <f>'Premissas Adotadas'!$E$19</f>
        <v>0.5</v>
      </c>
      <c r="Y28" s="42">
        <f>'Premissas Adotadas'!$E$19</f>
        <v>0.5</v>
      </c>
      <c r="Z28" s="42">
        <f>'Premissas Adotadas'!$E$19</f>
        <v>0.5</v>
      </c>
      <c r="AA28" s="42">
        <f>'Premissas Adotadas'!$E$19</f>
        <v>0.5</v>
      </c>
      <c r="AB28" s="42">
        <f>'Premissas Adotadas'!$E$19</f>
        <v>0.5</v>
      </c>
      <c r="AC28" s="42">
        <f>'Premissas Adotadas'!$E$19</f>
        <v>0.5</v>
      </c>
      <c r="AD28" s="42">
        <f>'Premissas Adotadas'!$E$19</f>
        <v>0.5</v>
      </c>
      <c r="AE28" s="42">
        <f>'Premissas Adotadas'!$E$19</f>
        <v>0.5</v>
      </c>
      <c r="AF28" s="42">
        <f>'Premissas Adotadas'!$E$19</f>
        <v>0.5</v>
      </c>
      <c r="AG28" s="42">
        <f>'Premissas Adotadas'!$E$19</f>
        <v>0.5</v>
      </c>
      <c r="AH28" s="42">
        <f>'Premissas Adotadas'!$E$19</f>
        <v>0.5</v>
      </c>
      <c r="AI28" s="42">
        <f>'Premissas Adotadas'!$E$19</f>
        <v>0.5</v>
      </c>
      <c r="AJ28" s="42">
        <f>'Premissas Adotadas'!$E$19</f>
        <v>0.5</v>
      </c>
      <c r="AK28" s="43">
        <f>'Premissas Adotadas'!$E$19</f>
        <v>0.5</v>
      </c>
    </row>
    <row r="29" spans="2:37" x14ac:dyDescent="0.25">
      <c r="B29" s="49" t="s">
        <v>144</v>
      </c>
      <c r="C29" s="47">
        <f>C28*C17*'Premissas Adotadas'!$F$10</f>
        <v>0</v>
      </c>
      <c r="D29" s="47">
        <f>D28*D17*'Premissas Adotadas'!$F$10</f>
        <v>0</v>
      </c>
      <c r="E29" s="47">
        <f>E28*E17*'Premissas Adotadas'!$F$10</f>
        <v>373.27794145420211</v>
      </c>
      <c r="F29" s="47">
        <f>F28*F17*'Premissas Adotadas'!$F$10</f>
        <v>1345.1457349700977</v>
      </c>
      <c r="G29" s="47">
        <f>G28*G17*'Premissas Adotadas'!$F$10</f>
        <v>1011.2133062637707</v>
      </c>
      <c r="H29" s="47">
        <f>H28*H17*'Premissas Adotadas'!$F$10</f>
        <v>1366.3317802958766</v>
      </c>
      <c r="I29" s="47">
        <f>I28*I17*'Premissas Adotadas'!$F$10</f>
        <v>425.40233868429334</v>
      </c>
      <c r="J29" s="47">
        <f>J28*J17*'Premissas Adotadas'!$F$10</f>
        <v>0</v>
      </c>
      <c r="K29" s="47">
        <f>K28*K17*'Premissas Adotadas'!$F$10</f>
        <v>0</v>
      </c>
      <c r="L29" s="47">
        <f>L28*L17*'Premissas Adotadas'!$F$10</f>
        <v>0</v>
      </c>
      <c r="M29" s="47">
        <f>M28*M17*'Premissas Adotadas'!$F$10</f>
        <v>0</v>
      </c>
      <c r="N29" s="47">
        <f>N28*N17*'Premissas Adotadas'!$F$10</f>
        <v>0</v>
      </c>
      <c r="O29" s="47">
        <f>O28*O17*'Premissas Adotadas'!$F$10</f>
        <v>0</v>
      </c>
      <c r="P29" s="47">
        <f>P28*P17*'Premissas Adotadas'!$F$10</f>
        <v>0</v>
      </c>
      <c r="Q29" s="47">
        <f>Q28*Q17*'Premissas Adotadas'!$F$10</f>
        <v>0</v>
      </c>
      <c r="R29" s="47">
        <f>R28*R17*'Premissas Adotadas'!$F$10</f>
        <v>0</v>
      </c>
      <c r="S29" s="47">
        <f>S28*S17*'Premissas Adotadas'!$F$10</f>
        <v>0</v>
      </c>
      <c r="T29" s="47">
        <f>T28*T17*'Premissas Adotadas'!$F$10</f>
        <v>0</v>
      </c>
      <c r="U29" s="47">
        <f>U28*U17*'Premissas Adotadas'!$F$10</f>
        <v>0</v>
      </c>
      <c r="V29" s="47">
        <f>V28*V17*'Premissas Adotadas'!$F$10</f>
        <v>0</v>
      </c>
      <c r="W29" s="47">
        <f>W28*W17*'Premissas Adotadas'!$F$10</f>
        <v>0</v>
      </c>
      <c r="X29" s="47">
        <f>X28*X17*'Premissas Adotadas'!$F$10</f>
        <v>0</v>
      </c>
      <c r="Y29" s="47">
        <f>Y28*Y17*'Premissas Adotadas'!$F$10</f>
        <v>0</v>
      </c>
      <c r="Z29" s="47">
        <f>Z28*Z17*'Premissas Adotadas'!$F$10</f>
        <v>0</v>
      </c>
      <c r="AA29" s="47">
        <f>AA28*AA17*'Premissas Adotadas'!$F$10</f>
        <v>0</v>
      </c>
      <c r="AB29" s="47">
        <f>AB28*AB17*'Premissas Adotadas'!$F$10</f>
        <v>0</v>
      </c>
      <c r="AC29" s="47">
        <f>AC28*AC17*'Premissas Adotadas'!$F$10</f>
        <v>0</v>
      </c>
      <c r="AD29" s="47">
        <f>AD28*AD17*'Premissas Adotadas'!$F$10</f>
        <v>0</v>
      </c>
      <c r="AE29" s="47">
        <f>AE28*AE17*'Premissas Adotadas'!$F$10</f>
        <v>0</v>
      </c>
      <c r="AF29" s="47">
        <f>AF28*AF17*'Premissas Adotadas'!$F$10</f>
        <v>0</v>
      </c>
      <c r="AG29" s="47">
        <f>AG28*AG17*'Premissas Adotadas'!$F$10</f>
        <v>0</v>
      </c>
      <c r="AH29" s="47">
        <f>AH28*AH17*'Premissas Adotadas'!$F$10</f>
        <v>0</v>
      </c>
      <c r="AI29" s="47">
        <f>AI28*AI17*'Premissas Adotadas'!$F$10</f>
        <v>0</v>
      </c>
      <c r="AJ29" s="47">
        <f>AJ28*AJ17*'Premissas Adotadas'!$F$10</f>
        <v>0</v>
      </c>
      <c r="AK29" s="48">
        <f>AK28*AK17*'Premissas Adotadas'!$F$10</f>
        <v>0</v>
      </c>
    </row>
    <row r="30" spans="2:37" x14ac:dyDescent="0.25">
      <c r="B30" s="49" t="s">
        <v>145</v>
      </c>
      <c r="C30" s="45">
        <f>C29</f>
        <v>0</v>
      </c>
      <c r="D30" s="45">
        <f>D29</f>
        <v>0</v>
      </c>
      <c r="E30" s="45">
        <f>D30+E29</f>
        <v>373.27794145420211</v>
      </c>
      <c r="F30" s="45">
        <f t="shared" ref="F30" si="87">E30+F29</f>
        <v>1718.4236764242999</v>
      </c>
      <c r="G30" s="45">
        <f t="shared" ref="G30" si="88">F30+G29</f>
        <v>2729.6369826880705</v>
      </c>
      <c r="H30" s="45">
        <f t="shared" ref="H30" si="89">G30+H29</f>
        <v>4095.9687629839473</v>
      </c>
      <c r="I30" s="45">
        <f t="shared" ref="I30" si="90">H30+I29</f>
        <v>4521.371101668241</v>
      </c>
      <c r="J30" s="45">
        <f t="shared" ref="J30" si="91">I30+J29</f>
        <v>4521.371101668241</v>
      </c>
      <c r="K30" s="45">
        <f t="shared" ref="K30" si="92">J30+K29</f>
        <v>4521.371101668241</v>
      </c>
      <c r="L30" s="45">
        <f t="shared" ref="L30" si="93">K30+L29</f>
        <v>4521.371101668241</v>
      </c>
      <c r="M30" s="45">
        <f t="shared" ref="M30" si="94">L30+M29</f>
        <v>4521.371101668241</v>
      </c>
      <c r="N30" s="45">
        <f t="shared" ref="N30" si="95">M30+N29</f>
        <v>4521.371101668241</v>
      </c>
      <c r="O30" s="45">
        <f t="shared" ref="O30" si="96">N30+O29</f>
        <v>4521.371101668241</v>
      </c>
      <c r="P30" s="45">
        <f t="shared" ref="P30" si="97">O30+P29</f>
        <v>4521.371101668241</v>
      </c>
      <c r="Q30" s="45">
        <f t="shared" ref="Q30" si="98">P30+Q29</f>
        <v>4521.371101668241</v>
      </c>
      <c r="R30" s="45">
        <f t="shared" ref="R30" si="99">Q30+R29</f>
        <v>4521.371101668241</v>
      </c>
      <c r="S30" s="45">
        <f t="shared" ref="S30" si="100">R30+S29</f>
        <v>4521.371101668241</v>
      </c>
      <c r="T30" s="45">
        <f t="shared" ref="T30" si="101">S30+T29</f>
        <v>4521.371101668241</v>
      </c>
      <c r="U30" s="45">
        <f t="shared" ref="U30" si="102">T30+U29</f>
        <v>4521.371101668241</v>
      </c>
      <c r="V30" s="45">
        <f t="shared" ref="V30" si="103">U30+V29</f>
        <v>4521.371101668241</v>
      </c>
      <c r="W30" s="45">
        <f t="shared" ref="W30" si="104">V30+W29</f>
        <v>4521.371101668241</v>
      </c>
      <c r="X30" s="45">
        <f t="shared" ref="X30" si="105">W30+X29</f>
        <v>4521.371101668241</v>
      </c>
      <c r="Y30" s="45">
        <f t="shared" ref="Y30" si="106">X30+Y29</f>
        <v>4521.371101668241</v>
      </c>
      <c r="Z30" s="45">
        <f t="shared" ref="Z30" si="107">Y30+Z29</f>
        <v>4521.371101668241</v>
      </c>
      <c r="AA30" s="45">
        <f t="shared" ref="AA30" si="108">Z30+AA29</f>
        <v>4521.371101668241</v>
      </c>
      <c r="AB30" s="45">
        <f t="shared" ref="AB30" si="109">AA30+AB29</f>
        <v>4521.371101668241</v>
      </c>
      <c r="AC30" s="45">
        <f t="shared" ref="AC30" si="110">AB30+AC29</f>
        <v>4521.371101668241</v>
      </c>
      <c r="AD30" s="45">
        <f t="shared" ref="AD30" si="111">AC30+AD29</f>
        <v>4521.371101668241</v>
      </c>
      <c r="AE30" s="45">
        <f t="shared" ref="AE30" si="112">AD30+AE29</f>
        <v>4521.371101668241</v>
      </c>
      <c r="AF30" s="45">
        <f t="shared" ref="AF30" si="113">AE30+AF29</f>
        <v>4521.371101668241</v>
      </c>
      <c r="AG30" s="45">
        <f t="shared" ref="AG30" si="114">AF30+AG29</f>
        <v>4521.371101668241</v>
      </c>
      <c r="AH30" s="45">
        <f t="shared" ref="AH30" si="115">AG30+AH29</f>
        <v>4521.371101668241</v>
      </c>
      <c r="AI30" s="45">
        <f t="shared" ref="AI30" si="116">AH30+AI29</f>
        <v>4521.371101668241</v>
      </c>
      <c r="AJ30" s="45">
        <f t="shared" ref="AJ30" si="117">AI30+AJ29</f>
        <v>4521.371101668241</v>
      </c>
      <c r="AK30" s="46">
        <f t="shared" ref="AK30" si="118">AJ30+AK29</f>
        <v>4521.371101668241</v>
      </c>
    </row>
    <row r="31" spans="2:37" x14ac:dyDescent="0.25">
      <c r="B31" s="227" t="s">
        <v>208</v>
      </c>
      <c r="C31" s="228"/>
      <c r="D31" s="228"/>
      <c r="E31" s="228"/>
      <c r="F31" s="228"/>
      <c r="G31" s="228"/>
      <c r="H31" s="228"/>
      <c r="I31" s="228"/>
      <c r="J31" s="228"/>
      <c r="K31" s="228"/>
      <c r="L31" s="228"/>
      <c r="M31" s="228"/>
      <c r="N31" s="228"/>
      <c r="O31" s="228"/>
      <c r="P31" s="228"/>
      <c r="Q31" s="228"/>
      <c r="R31" s="228"/>
      <c r="S31" s="228"/>
      <c r="T31" s="228"/>
      <c r="U31" s="228"/>
      <c r="V31" s="228"/>
      <c r="W31" s="228"/>
      <c r="X31" s="228"/>
      <c r="Y31" s="228"/>
      <c r="Z31" s="228"/>
      <c r="AA31" s="228"/>
      <c r="AB31" s="228"/>
      <c r="AC31" s="228"/>
      <c r="AD31" s="228"/>
      <c r="AE31" s="228"/>
      <c r="AF31" s="228"/>
      <c r="AG31" s="228"/>
      <c r="AH31" s="228"/>
      <c r="AI31" s="228"/>
      <c r="AJ31" s="228"/>
      <c r="AK31" s="229"/>
    </row>
    <row r="32" spans="2:37" x14ac:dyDescent="0.25">
      <c r="B32" s="40" t="s">
        <v>209</v>
      </c>
      <c r="C32" s="41">
        <f>'Premissas Adotadas'!$D$11</f>
        <v>0.19999999999999996</v>
      </c>
      <c r="D32" s="41">
        <f>'Premissas Adotadas'!$D$11</f>
        <v>0.19999999999999996</v>
      </c>
      <c r="E32" s="41">
        <f>'Premissas Adotadas'!$D$11</f>
        <v>0.19999999999999996</v>
      </c>
      <c r="F32" s="42">
        <f>'Premissas Adotadas'!$D$11</f>
        <v>0.19999999999999996</v>
      </c>
      <c r="G32" s="42">
        <f>'Premissas Adotadas'!$D$11</f>
        <v>0.19999999999999996</v>
      </c>
      <c r="H32" s="42">
        <f>'Premissas Adotadas'!$D$11</f>
        <v>0.19999999999999996</v>
      </c>
      <c r="I32" s="42">
        <f>'Premissas Adotadas'!$D$11</f>
        <v>0.19999999999999996</v>
      </c>
      <c r="J32" s="42">
        <f>'Premissas Adotadas'!$D$11</f>
        <v>0.19999999999999996</v>
      </c>
      <c r="K32" s="42">
        <f>'Premissas Adotadas'!$D$11</f>
        <v>0.19999999999999996</v>
      </c>
      <c r="L32" s="42">
        <f>'Premissas Adotadas'!$D$11</f>
        <v>0.19999999999999996</v>
      </c>
      <c r="M32" s="42">
        <f>'Premissas Adotadas'!$D$11</f>
        <v>0.19999999999999996</v>
      </c>
      <c r="N32" s="42">
        <f>'Premissas Adotadas'!$D$11</f>
        <v>0.19999999999999996</v>
      </c>
      <c r="O32" s="42">
        <f>'Premissas Adotadas'!$D$11</f>
        <v>0.19999999999999996</v>
      </c>
      <c r="P32" s="42">
        <f>'Premissas Adotadas'!$D$11</f>
        <v>0.19999999999999996</v>
      </c>
      <c r="Q32" s="42">
        <f>'Premissas Adotadas'!$D$11</f>
        <v>0.19999999999999996</v>
      </c>
      <c r="R32" s="42">
        <f>'Premissas Adotadas'!$D$11</f>
        <v>0.19999999999999996</v>
      </c>
      <c r="S32" s="42">
        <f>'Premissas Adotadas'!$D$11</f>
        <v>0.19999999999999996</v>
      </c>
      <c r="T32" s="42">
        <f>'Premissas Adotadas'!$D$11</f>
        <v>0.19999999999999996</v>
      </c>
      <c r="U32" s="42">
        <f>'Premissas Adotadas'!$D$11</f>
        <v>0.19999999999999996</v>
      </c>
      <c r="V32" s="42">
        <f>'Premissas Adotadas'!$D$11</f>
        <v>0.19999999999999996</v>
      </c>
      <c r="W32" s="42">
        <f>'Premissas Adotadas'!$D$11</f>
        <v>0.19999999999999996</v>
      </c>
      <c r="X32" s="42">
        <f>'Premissas Adotadas'!$D$11</f>
        <v>0.19999999999999996</v>
      </c>
      <c r="Y32" s="42">
        <f>'Premissas Adotadas'!$D$11</f>
        <v>0.19999999999999996</v>
      </c>
      <c r="Z32" s="42">
        <f>'Premissas Adotadas'!$D$11</f>
        <v>0.19999999999999996</v>
      </c>
      <c r="AA32" s="42">
        <f>'Premissas Adotadas'!$D$11</f>
        <v>0.19999999999999996</v>
      </c>
      <c r="AB32" s="42">
        <f>'Premissas Adotadas'!$D$11</f>
        <v>0.19999999999999996</v>
      </c>
      <c r="AC32" s="42">
        <f>'Premissas Adotadas'!$D$11</f>
        <v>0.19999999999999996</v>
      </c>
      <c r="AD32" s="42">
        <f>'Premissas Adotadas'!$D$11</f>
        <v>0.19999999999999996</v>
      </c>
      <c r="AE32" s="42">
        <f>'Premissas Adotadas'!$D$11</f>
        <v>0.19999999999999996</v>
      </c>
      <c r="AF32" s="42">
        <f>'Premissas Adotadas'!$D$11</f>
        <v>0.19999999999999996</v>
      </c>
      <c r="AG32" s="42">
        <f>'Premissas Adotadas'!$D$11</f>
        <v>0.19999999999999996</v>
      </c>
      <c r="AH32" s="42">
        <f>'Premissas Adotadas'!$D$11</f>
        <v>0.19999999999999996</v>
      </c>
      <c r="AI32" s="42">
        <f>'Premissas Adotadas'!$D$11</f>
        <v>0.19999999999999996</v>
      </c>
      <c r="AJ32" s="42">
        <f>'Premissas Adotadas'!$D$11</f>
        <v>0.19999999999999996</v>
      </c>
      <c r="AK32" s="43">
        <f>'Premissas Adotadas'!$D$11</f>
        <v>0.19999999999999996</v>
      </c>
    </row>
    <row r="33" spans="2:37" x14ac:dyDescent="0.25">
      <c r="B33" s="37" t="s">
        <v>210</v>
      </c>
      <c r="C33" s="47">
        <f t="shared" ref="C33:M33" si="119">C32*C12</f>
        <v>0</v>
      </c>
      <c r="D33" s="47">
        <f t="shared" si="119"/>
        <v>0</v>
      </c>
      <c r="E33" s="47">
        <f t="shared" si="119"/>
        <v>219.57525967894233</v>
      </c>
      <c r="F33" s="47">
        <f t="shared" si="119"/>
        <v>791.26219704123378</v>
      </c>
      <c r="G33" s="47">
        <f t="shared" si="119"/>
        <v>594.83135662574739</v>
      </c>
      <c r="H33" s="47">
        <f t="shared" si="119"/>
        <v>803.72457664463309</v>
      </c>
      <c r="I33" s="47">
        <f t="shared" si="119"/>
        <v>250.23666981429014</v>
      </c>
      <c r="J33" s="47">
        <f t="shared" si="119"/>
        <v>0</v>
      </c>
      <c r="K33" s="47">
        <f t="shared" si="119"/>
        <v>0</v>
      </c>
      <c r="L33" s="47">
        <f t="shared" si="119"/>
        <v>0</v>
      </c>
      <c r="M33" s="47">
        <f t="shared" si="119"/>
        <v>0</v>
      </c>
      <c r="N33" s="47">
        <f t="shared" ref="N33:AK33" si="120">N32*N12</f>
        <v>0</v>
      </c>
      <c r="O33" s="47">
        <f t="shared" si="120"/>
        <v>0</v>
      </c>
      <c r="P33" s="47">
        <f t="shared" si="120"/>
        <v>0</v>
      </c>
      <c r="Q33" s="47">
        <f t="shared" si="120"/>
        <v>0</v>
      </c>
      <c r="R33" s="47">
        <f t="shared" si="120"/>
        <v>0</v>
      </c>
      <c r="S33" s="47">
        <f t="shared" si="120"/>
        <v>0</v>
      </c>
      <c r="T33" s="47">
        <f t="shared" si="120"/>
        <v>0</v>
      </c>
      <c r="U33" s="47">
        <f t="shared" si="120"/>
        <v>0</v>
      </c>
      <c r="V33" s="47">
        <f t="shared" si="120"/>
        <v>0</v>
      </c>
      <c r="W33" s="47">
        <f t="shared" si="120"/>
        <v>0</v>
      </c>
      <c r="X33" s="47">
        <f t="shared" si="120"/>
        <v>0</v>
      </c>
      <c r="Y33" s="47">
        <f t="shared" si="120"/>
        <v>0</v>
      </c>
      <c r="Z33" s="47">
        <f t="shared" si="120"/>
        <v>0</v>
      </c>
      <c r="AA33" s="47">
        <f t="shared" si="120"/>
        <v>0</v>
      </c>
      <c r="AB33" s="47">
        <f t="shared" si="120"/>
        <v>0</v>
      </c>
      <c r="AC33" s="47">
        <f t="shared" si="120"/>
        <v>0</v>
      </c>
      <c r="AD33" s="47">
        <f t="shared" si="120"/>
        <v>0</v>
      </c>
      <c r="AE33" s="47">
        <f t="shared" si="120"/>
        <v>0</v>
      </c>
      <c r="AF33" s="47">
        <f t="shared" si="120"/>
        <v>0</v>
      </c>
      <c r="AG33" s="47">
        <f t="shared" si="120"/>
        <v>0</v>
      </c>
      <c r="AH33" s="47">
        <f t="shared" si="120"/>
        <v>0</v>
      </c>
      <c r="AI33" s="47">
        <f t="shared" si="120"/>
        <v>0</v>
      </c>
      <c r="AJ33" s="47">
        <f t="shared" si="120"/>
        <v>0</v>
      </c>
      <c r="AK33" s="48">
        <f t="shared" si="120"/>
        <v>0</v>
      </c>
    </row>
    <row r="34" spans="2:37" x14ac:dyDescent="0.25">
      <c r="B34" s="44" t="s">
        <v>211</v>
      </c>
      <c r="C34" s="45">
        <f>C33</f>
        <v>0</v>
      </c>
      <c r="D34" s="45">
        <f>D33+C34</f>
        <v>0</v>
      </c>
      <c r="E34" s="45">
        <f t="shared" ref="E34" si="121">E33+D34</f>
        <v>219.57525967894233</v>
      </c>
      <c r="F34" s="45">
        <f t="shared" ref="F34" si="122">F33+E34</f>
        <v>1010.8374567201761</v>
      </c>
      <c r="G34" s="45">
        <f t="shared" ref="G34" si="123">G33+F34</f>
        <v>1605.6688133459234</v>
      </c>
      <c r="H34" s="45">
        <f>H33+G34</f>
        <v>2409.3933899905564</v>
      </c>
      <c r="I34" s="45">
        <f t="shared" ref="I34" si="124">I33+H34</f>
        <v>2659.6300598048465</v>
      </c>
      <c r="J34" s="45">
        <f t="shared" ref="J34" si="125">J33+I34</f>
        <v>2659.6300598048465</v>
      </c>
      <c r="K34" s="45">
        <f t="shared" ref="K34" si="126">K33+J34</f>
        <v>2659.6300598048465</v>
      </c>
      <c r="L34" s="45">
        <f t="shared" ref="L34" si="127">L33+K34</f>
        <v>2659.6300598048465</v>
      </c>
      <c r="M34" s="45">
        <f t="shared" ref="M34" si="128">M33+L34</f>
        <v>2659.6300598048465</v>
      </c>
      <c r="N34" s="45">
        <f t="shared" ref="N34" si="129">N33+M34</f>
        <v>2659.6300598048465</v>
      </c>
      <c r="O34" s="45">
        <f t="shared" ref="O34" si="130">O33+N34</f>
        <v>2659.6300598048465</v>
      </c>
      <c r="P34" s="45">
        <f t="shared" ref="P34" si="131">P33+O34</f>
        <v>2659.6300598048465</v>
      </c>
      <c r="Q34" s="45">
        <f t="shared" ref="Q34" si="132">Q33+P34</f>
        <v>2659.6300598048465</v>
      </c>
      <c r="R34" s="45">
        <f t="shared" ref="R34" si="133">R33+Q34</f>
        <v>2659.6300598048465</v>
      </c>
      <c r="S34" s="45">
        <f t="shared" ref="S34" si="134">S33+R34</f>
        <v>2659.6300598048465</v>
      </c>
      <c r="T34" s="45">
        <f t="shared" ref="T34" si="135">T33+S34</f>
        <v>2659.6300598048465</v>
      </c>
      <c r="U34" s="45">
        <f t="shared" ref="U34" si="136">U33+T34</f>
        <v>2659.6300598048465</v>
      </c>
      <c r="V34" s="45">
        <f t="shared" ref="V34" si="137">V33+U34</f>
        <v>2659.6300598048465</v>
      </c>
      <c r="W34" s="45">
        <f t="shared" ref="W34" si="138">W33+V34</f>
        <v>2659.6300598048465</v>
      </c>
      <c r="X34" s="45">
        <f t="shared" ref="X34" si="139">X33+W34</f>
        <v>2659.6300598048465</v>
      </c>
      <c r="Y34" s="45">
        <f t="shared" ref="Y34" si="140">Y33+X34</f>
        <v>2659.6300598048465</v>
      </c>
      <c r="Z34" s="45">
        <f t="shared" ref="Z34" si="141">Z33+Y34</f>
        <v>2659.6300598048465</v>
      </c>
      <c r="AA34" s="45">
        <f t="shared" ref="AA34" si="142">AA33+Z34</f>
        <v>2659.6300598048465</v>
      </c>
      <c r="AB34" s="45">
        <f t="shared" ref="AB34" si="143">AB33+AA34</f>
        <v>2659.6300598048465</v>
      </c>
      <c r="AC34" s="45">
        <f t="shared" ref="AC34" si="144">AC33+AB34</f>
        <v>2659.6300598048465</v>
      </c>
      <c r="AD34" s="45">
        <f t="shared" ref="AD34" si="145">AD33+AC34</f>
        <v>2659.6300598048465</v>
      </c>
      <c r="AE34" s="45">
        <f t="shared" ref="AE34" si="146">AE33+AD34</f>
        <v>2659.6300598048465</v>
      </c>
      <c r="AF34" s="45">
        <f t="shared" ref="AF34" si="147">AF33+AE34</f>
        <v>2659.6300598048465</v>
      </c>
      <c r="AG34" s="45">
        <f t="shared" ref="AG34" si="148">AG33+AF34</f>
        <v>2659.6300598048465</v>
      </c>
      <c r="AH34" s="45">
        <f t="shared" ref="AH34" si="149">AH33+AG34</f>
        <v>2659.6300598048465</v>
      </c>
      <c r="AI34" s="45">
        <f t="shared" ref="AI34" si="150">AI33+AH34</f>
        <v>2659.6300598048465</v>
      </c>
      <c r="AJ34" s="45">
        <f t="shared" ref="AJ34" si="151">AJ33+AI34</f>
        <v>2659.6300598048465</v>
      </c>
      <c r="AK34" s="46">
        <f t="shared" ref="AK34" si="152">AK33+AJ34</f>
        <v>2659.6300598048465</v>
      </c>
    </row>
    <row r="35" spans="2:37" x14ac:dyDescent="0.25">
      <c r="B35" s="230" t="s">
        <v>212</v>
      </c>
      <c r="C35" s="228"/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228"/>
      <c r="Y35" s="228"/>
      <c r="Z35" s="228"/>
      <c r="AA35" s="228"/>
      <c r="AB35" s="228"/>
      <c r="AC35" s="228"/>
      <c r="AD35" s="228"/>
      <c r="AE35" s="228"/>
      <c r="AF35" s="228"/>
      <c r="AG35" s="228"/>
      <c r="AH35" s="228"/>
      <c r="AI35" s="228"/>
      <c r="AJ35" s="228"/>
      <c r="AK35" s="229"/>
    </row>
    <row r="36" spans="2:37" x14ac:dyDescent="0.25">
      <c r="B36" s="40" t="s">
        <v>217</v>
      </c>
      <c r="C36" s="41">
        <f>'Premissas Adotadas'!$E$21</f>
        <v>0.33333333333333337</v>
      </c>
      <c r="D36" s="42">
        <f>'Premissas Adotadas'!$E$21</f>
        <v>0.33333333333333337</v>
      </c>
      <c r="E36" s="41">
        <f>'Premissas Adotadas'!$E$21</f>
        <v>0.33333333333333337</v>
      </c>
      <c r="F36" s="42">
        <f>'Premissas Adotadas'!$E$21</f>
        <v>0.33333333333333337</v>
      </c>
      <c r="G36" s="42">
        <f>'Premissas Adotadas'!$E$21</f>
        <v>0.33333333333333337</v>
      </c>
      <c r="H36" s="42">
        <f>'Premissas Adotadas'!$E$21</f>
        <v>0.33333333333333337</v>
      </c>
      <c r="I36" s="42">
        <f>'Premissas Adotadas'!$E$21</f>
        <v>0.33333333333333337</v>
      </c>
      <c r="J36" s="42">
        <f>'Premissas Adotadas'!$E$21</f>
        <v>0.33333333333333337</v>
      </c>
      <c r="K36" s="42">
        <f>'Premissas Adotadas'!$E$21</f>
        <v>0.33333333333333337</v>
      </c>
      <c r="L36" s="42">
        <f>'Premissas Adotadas'!$E$21</f>
        <v>0.33333333333333337</v>
      </c>
      <c r="M36" s="42">
        <f>'Premissas Adotadas'!$E$21</f>
        <v>0.33333333333333337</v>
      </c>
      <c r="N36" s="42">
        <f>'Premissas Adotadas'!$E$21</f>
        <v>0.33333333333333337</v>
      </c>
      <c r="O36" s="42">
        <f>'Premissas Adotadas'!$E$21</f>
        <v>0.33333333333333337</v>
      </c>
      <c r="P36" s="42">
        <f>'Premissas Adotadas'!$E$21</f>
        <v>0.33333333333333337</v>
      </c>
      <c r="Q36" s="42">
        <f>'Premissas Adotadas'!$E$21</f>
        <v>0.33333333333333337</v>
      </c>
      <c r="R36" s="42">
        <f>'Premissas Adotadas'!$E$21</f>
        <v>0.33333333333333337</v>
      </c>
      <c r="S36" s="42">
        <f>'Premissas Adotadas'!$E$21</f>
        <v>0.33333333333333337</v>
      </c>
      <c r="T36" s="42">
        <f>'Premissas Adotadas'!$E$21</f>
        <v>0.33333333333333337</v>
      </c>
      <c r="U36" s="42">
        <f>'Premissas Adotadas'!$E$21</f>
        <v>0.33333333333333337</v>
      </c>
      <c r="V36" s="42">
        <f>'Premissas Adotadas'!$E$21</f>
        <v>0.33333333333333337</v>
      </c>
      <c r="W36" s="42">
        <f>'Premissas Adotadas'!$E$21</f>
        <v>0.33333333333333337</v>
      </c>
      <c r="X36" s="42">
        <f>'Premissas Adotadas'!$E$21</f>
        <v>0.33333333333333337</v>
      </c>
      <c r="Y36" s="42">
        <f>'Premissas Adotadas'!$E$21</f>
        <v>0.33333333333333337</v>
      </c>
      <c r="Z36" s="42">
        <f>'Premissas Adotadas'!$E$21</f>
        <v>0.33333333333333337</v>
      </c>
      <c r="AA36" s="42">
        <f>'Premissas Adotadas'!$E$21</f>
        <v>0.33333333333333337</v>
      </c>
      <c r="AB36" s="42">
        <f>'Premissas Adotadas'!$E$21</f>
        <v>0.33333333333333337</v>
      </c>
      <c r="AC36" s="42">
        <f>'Premissas Adotadas'!$E$21</f>
        <v>0.33333333333333337</v>
      </c>
      <c r="AD36" s="42">
        <f>'Premissas Adotadas'!$E$21</f>
        <v>0.33333333333333337</v>
      </c>
      <c r="AE36" s="42">
        <f>'Premissas Adotadas'!$E$21</f>
        <v>0.33333333333333337</v>
      </c>
      <c r="AF36" s="42">
        <f>'Premissas Adotadas'!$E$21</f>
        <v>0.33333333333333337</v>
      </c>
      <c r="AG36" s="42">
        <f>'Premissas Adotadas'!$E$21</f>
        <v>0.33333333333333337</v>
      </c>
      <c r="AH36" s="42">
        <f>'Premissas Adotadas'!$E$21</f>
        <v>0.33333333333333337</v>
      </c>
      <c r="AI36" s="42">
        <f>'Premissas Adotadas'!$E$21</f>
        <v>0.33333333333333337</v>
      </c>
      <c r="AJ36" s="42">
        <f>'Premissas Adotadas'!$E$21</f>
        <v>0.33333333333333337</v>
      </c>
      <c r="AK36" s="43">
        <f>'Premissas Adotadas'!$E$21</f>
        <v>0.33333333333333337</v>
      </c>
    </row>
    <row r="37" spans="2:37" x14ac:dyDescent="0.25">
      <c r="B37" s="49" t="s">
        <v>215</v>
      </c>
      <c r="C37" s="47">
        <f>C36*C33*'Premissas Adotadas'!$F$11</f>
        <v>0</v>
      </c>
      <c r="D37" s="47">
        <f>D36*D33*'Premissas Adotadas'!$F$11</f>
        <v>0</v>
      </c>
      <c r="E37" s="47">
        <f>E36*E33*'Premissas Adotadas'!$F$11</f>
        <v>65.872577903682711</v>
      </c>
      <c r="F37" s="47">
        <f>F36*F33*'Premissas Adotadas'!$F$11</f>
        <v>237.3786591123702</v>
      </c>
      <c r="G37" s="47">
        <f>G36*G33*'Premissas Adotadas'!$F$11</f>
        <v>178.44940698772425</v>
      </c>
      <c r="H37" s="47">
        <f>H36*H33*'Premissas Adotadas'!$F$11</f>
        <v>241.11737299338995</v>
      </c>
      <c r="I37" s="47">
        <f>I36*I33*'Premissas Adotadas'!$F$11</f>
        <v>75.07100094428705</v>
      </c>
      <c r="J37" s="47">
        <f>J36*J33*'Premissas Adotadas'!$F$11</f>
        <v>0</v>
      </c>
      <c r="K37" s="47">
        <f>K36*K33*'Premissas Adotadas'!$F$11</f>
        <v>0</v>
      </c>
      <c r="L37" s="47">
        <f>L36*L33*'Premissas Adotadas'!$F$11</f>
        <v>0</v>
      </c>
      <c r="M37" s="47">
        <f>M36*M33*'Premissas Adotadas'!$F$11</f>
        <v>0</v>
      </c>
      <c r="N37" s="47">
        <f>N36*N33*'Premissas Adotadas'!$F$11</f>
        <v>0</v>
      </c>
      <c r="O37" s="47">
        <f>O36*O33*'Premissas Adotadas'!$F$11</f>
        <v>0</v>
      </c>
      <c r="P37" s="47">
        <f>P36*P33*'Premissas Adotadas'!$F$11</f>
        <v>0</v>
      </c>
      <c r="Q37" s="47">
        <f>Q36*Q33*'Premissas Adotadas'!$F$11</f>
        <v>0</v>
      </c>
      <c r="R37" s="47">
        <f>R36*R33*'Premissas Adotadas'!$F$11</f>
        <v>0</v>
      </c>
      <c r="S37" s="47">
        <f>S36*S33*'Premissas Adotadas'!$F$11</f>
        <v>0</v>
      </c>
      <c r="T37" s="47">
        <f>T36*T33*'Premissas Adotadas'!$F$11</f>
        <v>0</v>
      </c>
      <c r="U37" s="47">
        <f>U36*U33*'Premissas Adotadas'!$F$11</f>
        <v>0</v>
      </c>
      <c r="V37" s="47">
        <f>V36*V33*'Premissas Adotadas'!$F$11</f>
        <v>0</v>
      </c>
      <c r="W37" s="47">
        <f>W36*W33*'Premissas Adotadas'!$F$11</f>
        <v>0</v>
      </c>
      <c r="X37" s="47">
        <f>X36*X33*'Premissas Adotadas'!$F$11</f>
        <v>0</v>
      </c>
      <c r="Y37" s="47">
        <f>Y36*Y33*'Premissas Adotadas'!$F$11</f>
        <v>0</v>
      </c>
      <c r="Z37" s="47">
        <f>Z36*Z33*'Premissas Adotadas'!$F$11</f>
        <v>0</v>
      </c>
      <c r="AA37" s="47">
        <f>AA36*AA33*'Premissas Adotadas'!$F$11</f>
        <v>0</v>
      </c>
      <c r="AB37" s="47">
        <f>AB36*AB33*'Premissas Adotadas'!$F$11</f>
        <v>0</v>
      </c>
      <c r="AC37" s="47">
        <f>AC36*AC33*'Premissas Adotadas'!$F$11</f>
        <v>0</v>
      </c>
      <c r="AD37" s="47">
        <f>AD36*AD33*'Premissas Adotadas'!$F$11</f>
        <v>0</v>
      </c>
      <c r="AE37" s="47">
        <f>AE36*AE33*'Premissas Adotadas'!$F$11</f>
        <v>0</v>
      </c>
      <c r="AF37" s="47">
        <f>AF36*AF33*'Premissas Adotadas'!$F$11</f>
        <v>0</v>
      </c>
      <c r="AG37" s="47">
        <f>AG36*AG33*'Premissas Adotadas'!$F$11</f>
        <v>0</v>
      </c>
      <c r="AH37" s="47">
        <f>AH36*AH33*'Premissas Adotadas'!$F$11</f>
        <v>0</v>
      </c>
      <c r="AI37" s="47">
        <f>AI36*AI33*'Premissas Adotadas'!$F$11</f>
        <v>0</v>
      </c>
      <c r="AJ37" s="47">
        <f>AJ36*AJ33*'Premissas Adotadas'!$F$11</f>
        <v>0</v>
      </c>
      <c r="AK37" s="48">
        <f>AK36*AK33*'Premissas Adotadas'!$F$11</f>
        <v>0</v>
      </c>
    </row>
    <row r="38" spans="2:37" x14ac:dyDescent="0.25">
      <c r="B38" s="44" t="s">
        <v>216</v>
      </c>
      <c r="C38" s="45">
        <f>C37</f>
        <v>0</v>
      </c>
      <c r="D38" s="45">
        <f>C38+D37</f>
        <v>0</v>
      </c>
      <c r="E38" s="45">
        <f t="shared" ref="E38" si="153">D38+E37</f>
        <v>65.872577903682711</v>
      </c>
      <c r="F38" s="45">
        <f t="shared" ref="F38" si="154">E38+F37</f>
        <v>303.25123701605293</v>
      </c>
      <c r="G38" s="45">
        <f t="shared" ref="G38" si="155">F38+G37</f>
        <v>481.70064400377714</v>
      </c>
      <c r="H38" s="45">
        <f t="shared" ref="H38" si="156">G38+H37</f>
        <v>722.81801699716709</v>
      </c>
      <c r="I38" s="45">
        <f t="shared" ref="I38" si="157">H38+I37</f>
        <v>797.88901794145409</v>
      </c>
      <c r="J38" s="45">
        <f t="shared" ref="J38" si="158">I38+J37</f>
        <v>797.88901794145409</v>
      </c>
      <c r="K38" s="45">
        <f t="shared" ref="K38" si="159">J38+K37</f>
        <v>797.88901794145409</v>
      </c>
      <c r="L38" s="45">
        <f t="shared" ref="L38" si="160">K38+L37</f>
        <v>797.88901794145409</v>
      </c>
      <c r="M38" s="45">
        <f t="shared" ref="M38" si="161">L38+M37</f>
        <v>797.88901794145409</v>
      </c>
      <c r="N38" s="45">
        <f t="shared" ref="N38" si="162">M38+N37</f>
        <v>797.88901794145409</v>
      </c>
      <c r="O38" s="45">
        <f t="shared" ref="O38" si="163">N38+O37</f>
        <v>797.88901794145409</v>
      </c>
      <c r="P38" s="45">
        <f t="shared" ref="P38" si="164">O38+P37</f>
        <v>797.88901794145409</v>
      </c>
      <c r="Q38" s="45">
        <f t="shared" ref="Q38" si="165">P38+Q37</f>
        <v>797.88901794145409</v>
      </c>
      <c r="R38" s="45">
        <f t="shared" ref="R38" si="166">Q38+R37</f>
        <v>797.88901794145409</v>
      </c>
      <c r="S38" s="45">
        <f t="shared" ref="S38" si="167">R38+S37</f>
        <v>797.88901794145409</v>
      </c>
      <c r="T38" s="45">
        <f t="shared" ref="T38" si="168">S38+T37</f>
        <v>797.88901794145409</v>
      </c>
      <c r="U38" s="45">
        <f t="shared" ref="U38" si="169">T38+U37</f>
        <v>797.88901794145409</v>
      </c>
      <c r="V38" s="45">
        <f t="shared" ref="V38" si="170">U38+V37</f>
        <v>797.88901794145409</v>
      </c>
      <c r="W38" s="45">
        <f t="shared" ref="W38" si="171">V38+W37</f>
        <v>797.88901794145409</v>
      </c>
      <c r="X38" s="45">
        <f t="shared" ref="X38" si="172">W38+X37</f>
        <v>797.88901794145409</v>
      </c>
      <c r="Y38" s="45">
        <f t="shared" ref="Y38" si="173">X38+Y37</f>
        <v>797.88901794145409</v>
      </c>
      <c r="Z38" s="45">
        <f t="shared" ref="Z38" si="174">Y38+Z37</f>
        <v>797.88901794145409</v>
      </c>
      <c r="AA38" s="45">
        <f t="shared" ref="AA38" si="175">Z38+AA37</f>
        <v>797.88901794145409</v>
      </c>
      <c r="AB38" s="45">
        <f t="shared" ref="AB38" si="176">AA38+AB37</f>
        <v>797.88901794145409</v>
      </c>
      <c r="AC38" s="45">
        <f t="shared" ref="AC38" si="177">AB38+AC37</f>
        <v>797.88901794145409</v>
      </c>
      <c r="AD38" s="45">
        <f t="shared" ref="AD38" si="178">AC38+AD37</f>
        <v>797.88901794145409</v>
      </c>
      <c r="AE38" s="45">
        <f t="shared" ref="AE38" si="179">AD38+AE37</f>
        <v>797.88901794145409</v>
      </c>
      <c r="AF38" s="45">
        <f t="shared" ref="AF38" si="180">AE38+AF37</f>
        <v>797.88901794145409</v>
      </c>
      <c r="AG38" s="45">
        <f t="shared" ref="AG38" si="181">AF38+AG37</f>
        <v>797.88901794145409</v>
      </c>
      <c r="AH38" s="45">
        <f t="shared" ref="AH38" si="182">AG38+AH37</f>
        <v>797.88901794145409</v>
      </c>
      <c r="AI38" s="45">
        <f t="shared" ref="AI38" si="183">AH38+AI37</f>
        <v>797.88901794145409</v>
      </c>
      <c r="AJ38" s="45">
        <f t="shared" ref="AJ38" si="184">AI38+AJ37</f>
        <v>797.88901794145409</v>
      </c>
      <c r="AK38" s="46">
        <f t="shared" ref="AK38" si="185">AJ38+AK37</f>
        <v>797.88901794145409</v>
      </c>
    </row>
    <row r="39" spans="2:37" x14ac:dyDescent="0.25">
      <c r="B39" s="230" t="s">
        <v>213</v>
      </c>
      <c r="C39" s="228"/>
      <c r="D39" s="228"/>
      <c r="E39" s="228"/>
      <c r="F39" s="228"/>
      <c r="G39" s="228"/>
      <c r="H39" s="228"/>
      <c r="I39" s="228"/>
      <c r="J39" s="228"/>
      <c r="K39" s="228"/>
      <c r="L39" s="228"/>
      <c r="M39" s="228"/>
      <c r="N39" s="228"/>
      <c r="O39" s="228"/>
      <c r="P39" s="228"/>
      <c r="Q39" s="228"/>
      <c r="R39" s="228"/>
      <c r="S39" s="228"/>
      <c r="T39" s="228"/>
      <c r="U39" s="228"/>
      <c r="V39" s="228"/>
      <c r="W39" s="228"/>
      <c r="X39" s="228"/>
      <c r="Y39" s="228"/>
      <c r="Z39" s="228"/>
      <c r="AA39" s="228"/>
      <c r="AB39" s="228"/>
      <c r="AC39" s="228"/>
      <c r="AD39" s="228"/>
      <c r="AE39" s="228"/>
      <c r="AF39" s="228"/>
      <c r="AG39" s="228"/>
      <c r="AH39" s="228"/>
      <c r="AI39" s="228"/>
      <c r="AJ39" s="228"/>
      <c r="AK39" s="229"/>
    </row>
    <row r="40" spans="2:37" x14ac:dyDescent="0.25">
      <c r="B40" s="40" t="s">
        <v>218</v>
      </c>
      <c r="C40" s="42">
        <f>'Premissas Adotadas'!$E$22</f>
        <v>0.33333333333333337</v>
      </c>
      <c r="D40" s="42">
        <f>'Premissas Adotadas'!$E$22</f>
        <v>0.33333333333333337</v>
      </c>
      <c r="E40" s="42">
        <f>'Premissas Adotadas'!$E$22</f>
        <v>0.33333333333333337</v>
      </c>
      <c r="F40" s="42">
        <f>'Premissas Adotadas'!$E$22</f>
        <v>0.33333333333333337</v>
      </c>
      <c r="G40" s="42">
        <f>'Premissas Adotadas'!$E$22</f>
        <v>0.33333333333333337</v>
      </c>
      <c r="H40" s="42">
        <f>'Premissas Adotadas'!$E$22</f>
        <v>0.33333333333333337</v>
      </c>
      <c r="I40" s="42">
        <f>'Premissas Adotadas'!$E$22</f>
        <v>0.33333333333333337</v>
      </c>
      <c r="J40" s="42">
        <f>'Premissas Adotadas'!$E$22</f>
        <v>0.33333333333333337</v>
      </c>
      <c r="K40" s="42">
        <f>'Premissas Adotadas'!$E$22</f>
        <v>0.33333333333333337</v>
      </c>
      <c r="L40" s="42">
        <f>'Premissas Adotadas'!$E$22</f>
        <v>0.33333333333333337</v>
      </c>
      <c r="M40" s="42">
        <f>'Premissas Adotadas'!$E$22</f>
        <v>0.33333333333333337</v>
      </c>
      <c r="N40" s="42">
        <f>'Premissas Adotadas'!$E$22</f>
        <v>0.33333333333333337</v>
      </c>
      <c r="O40" s="42">
        <f>'Premissas Adotadas'!$E$22</f>
        <v>0.33333333333333337</v>
      </c>
      <c r="P40" s="42">
        <f>'Premissas Adotadas'!$E$22</f>
        <v>0.33333333333333337</v>
      </c>
      <c r="Q40" s="42">
        <f>'Premissas Adotadas'!$E$22</f>
        <v>0.33333333333333337</v>
      </c>
      <c r="R40" s="42">
        <f>'Premissas Adotadas'!$E$22</f>
        <v>0.33333333333333337</v>
      </c>
      <c r="S40" s="42">
        <f>'Premissas Adotadas'!$E$22</f>
        <v>0.33333333333333337</v>
      </c>
      <c r="T40" s="42">
        <f>'Premissas Adotadas'!$E$22</f>
        <v>0.33333333333333337</v>
      </c>
      <c r="U40" s="42">
        <f>'Premissas Adotadas'!$E$22</f>
        <v>0.33333333333333337</v>
      </c>
      <c r="V40" s="42">
        <f>'Premissas Adotadas'!$E$22</f>
        <v>0.33333333333333337</v>
      </c>
      <c r="W40" s="42">
        <f>'Premissas Adotadas'!$E$22</f>
        <v>0.33333333333333337</v>
      </c>
      <c r="X40" s="42">
        <f>'Premissas Adotadas'!$E$22</f>
        <v>0.33333333333333337</v>
      </c>
      <c r="Y40" s="42">
        <f>'Premissas Adotadas'!$E$22</f>
        <v>0.33333333333333337</v>
      </c>
      <c r="Z40" s="42">
        <f>'Premissas Adotadas'!$E$22</f>
        <v>0.33333333333333337</v>
      </c>
      <c r="AA40" s="42">
        <f>'Premissas Adotadas'!$E$22</f>
        <v>0.33333333333333337</v>
      </c>
      <c r="AB40" s="42">
        <f>'Premissas Adotadas'!$E$22</f>
        <v>0.33333333333333337</v>
      </c>
      <c r="AC40" s="42">
        <f>'Premissas Adotadas'!$E$22</f>
        <v>0.33333333333333337</v>
      </c>
      <c r="AD40" s="42">
        <f>'Premissas Adotadas'!$E$22</f>
        <v>0.33333333333333337</v>
      </c>
      <c r="AE40" s="42">
        <f>'Premissas Adotadas'!$E$22</f>
        <v>0.33333333333333337</v>
      </c>
      <c r="AF40" s="42">
        <f>'Premissas Adotadas'!$E$22</f>
        <v>0.33333333333333337</v>
      </c>
      <c r="AG40" s="42">
        <f>'Premissas Adotadas'!$E$22</f>
        <v>0.33333333333333337</v>
      </c>
      <c r="AH40" s="42">
        <f>'Premissas Adotadas'!$E$22</f>
        <v>0.33333333333333337</v>
      </c>
      <c r="AI40" s="42">
        <f>'Premissas Adotadas'!$E$22</f>
        <v>0.33333333333333337</v>
      </c>
      <c r="AJ40" s="42">
        <f>'Premissas Adotadas'!$E$22</f>
        <v>0.33333333333333337</v>
      </c>
      <c r="AK40" s="43">
        <f>'Premissas Adotadas'!$E$22</f>
        <v>0.33333333333333337</v>
      </c>
    </row>
    <row r="41" spans="2:37" x14ac:dyDescent="0.25">
      <c r="B41" s="49" t="s">
        <v>219</v>
      </c>
      <c r="C41" s="47">
        <f>C40*C33*'Premissas Adotadas'!$F$11</f>
        <v>0</v>
      </c>
      <c r="D41" s="47">
        <f>D40*D33*'Premissas Adotadas'!$F$11</f>
        <v>0</v>
      </c>
      <c r="E41" s="47">
        <f>E40*E33*'Premissas Adotadas'!$F$11</f>
        <v>65.872577903682711</v>
      </c>
      <c r="F41" s="47">
        <f>F40*F33*'Premissas Adotadas'!$F$11</f>
        <v>237.3786591123702</v>
      </c>
      <c r="G41" s="47">
        <f>G40*G33*'Premissas Adotadas'!$F$11</f>
        <v>178.44940698772425</v>
      </c>
      <c r="H41" s="47">
        <f>H40*H33*'Premissas Adotadas'!$F$11</f>
        <v>241.11737299338995</v>
      </c>
      <c r="I41" s="47">
        <f>I40*I33*'Premissas Adotadas'!$F$11</f>
        <v>75.07100094428705</v>
      </c>
      <c r="J41" s="47">
        <f>J40*J33*'Premissas Adotadas'!$F$11</f>
        <v>0</v>
      </c>
      <c r="K41" s="47">
        <f>K40*K33*'Premissas Adotadas'!$F$11</f>
        <v>0</v>
      </c>
      <c r="L41" s="47">
        <f>L40*L33*'Premissas Adotadas'!$F$11</f>
        <v>0</v>
      </c>
      <c r="M41" s="47">
        <f>M40*M33*'Premissas Adotadas'!$F$11</f>
        <v>0</v>
      </c>
      <c r="N41" s="47">
        <f>N40*N33*'Premissas Adotadas'!$F$11</f>
        <v>0</v>
      </c>
      <c r="O41" s="47">
        <f>O40*O33*'Premissas Adotadas'!$F$11</f>
        <v>0</v>
      </c>
      <c r="P41" s="47">
        <f>P40*P33*'Premissas Adotadas'!$F$11</f>
        <v>0</v>
      </c>
      <c r="Q41" s="47">
        <f>Q40*Q33*'Premissas Adotadas'!$F$11</f>
        <v>0</v>
      </c>
      <c r="R41" s="47">
        <f>R40*R33*'Premissas Adotadas'!$F$11</f>
        <v>0</v>
      </c>
      <c r="S41" s="47">
        <f>S40*S33*'Premissas Adotadas'!$F$11</f>
        <v>0</v>
      </c>
      <c r="T41" s="47">
        <f>T40*T33*'Premissas Adotadas'!$F$11</f>
        <v>0</v>
      </c>
      <c r="U41" s="47">
        <f>U40*U33*'Premissas Adotadas'!$F$11</f>
        <v>0</v>
      </c>
      <c r="V41" s="47">
        <f>V40*V33*'Premissas Adotadas'!$F$11</f>
        <v>0</v>
      </c>
      <c r="W41" s="47">
        <f>W40*W33*'Premissas Adotadas'!$F$11</f>
        <v>0</v>
      </c>
      <c r="X41" s="47">
        <f>X40*X33*'Premissas Adotadas'!$F$11</f>
        <v>0</v>
      </c>
      <c r="Y41" s="47">
        <f>Y40*Y33*'Premissas Adotadas'!$F$11</f>
        <v>0</v>
      </c>
      <c r="Z41" s="47">
        <f>Z40*Z33*'Premissas Adotadas'!$F$11</f>
        <v>0</v>
      </c>
      <c r="AA41" s="47">
        <f>AA40*AA33*'Premissas Adotadas'!$F$11</f>
        <v>0</v>
      </c>
      <c r="AB41" s="47">
        <f>AB40*AB33*'Premissas Adotadas'!$F$11</f>
        <v>0</v>
      </c>
      <c r="AC41" s="47">
        <f>AC40*AC33*'Premissas Adotadas'!$F$11</f>
        <v>0</v>
      </c>
      <c r="AD41" s="47">
        <f>AD40*AD33*'Premissas Adotadas'!$F$11</f>
        <v>0</v>
      </c>
      <c r="AE41" s="47">
        <f>AE40*AE33*'Premissas Adotadas'!$F$11</f>
        <v>0</v>
      </c>
      <c r="AF41" s="47">
        <f>AF40*AF33*'Premissas Adotadas'!$F$11</f>
        <v>0</v>
      </c>
      <c r="AG41" s="47">
        <f>AG40*AG33*'Premissas Adotadas'!$F$11</f>
        <v>0</v>
      </c>
      <c r="AH41" s="47">
        <f>AH40*AH33*'Premissas Adotadas'!$F$11</f>
        <v>0</v>
      </c>
      <c r="AI41" s="47">
        <f>AI40*AI33*'Premissas Adotadas'!$F$11</f>
        <v>0</v>
      </c>
      <c r="AJ41" s="47">
        <f>AJ40*AJ33*'Premissas Adotadas'!$F$11</f>
        <v>0</v>
      </c>
      <c r="AK41" s="48">
        <f>AK40*AK33*'Premissas Adotadas'!$F$11</f>
        <v>0</v>
      </c>
    </row>
    <row r="42" spans="2:37" x14ac:dyDescent="0.25">
      <c r="B42" s="44" t="s">
        <v>220</v>
      </c>
      <c r="C42" s="45">
        <f>C41</f>
        <v>0</v>
      </c>
      <c r="D42" s="45">
        <f>C42+D41</f>
        <v>0</v>
      </c>
      <c r="E42" s="45">
        <f t="shared" ref="E42" si="186">D42+E41</f>
        <v>65.872577903682711</v>
      </c>
      <c r="F42" s="45">
        <f t="shared" ref="F42" si="187">E42+F41</f>
        <v>303.25123701605293</v>
      </c>
      <c r="G42" s="45">
        <f t="shared" ref="G42" si="188">F42+G41</f>
        <v>481.70064400377714</v>
      </c>
      <c r="H42" s="45">
        <f t="shared" ref="H42" si="189">G42+H41</f>
        <v>722.81801699716709</v>
      </c>
      <c r="I42" s="45">
        <f t="shared" ref="I42" si="190">H42+I41</f>
        <v>797.88901794145409</v>
      </c>
      <c r="J42" s="45">
        <f t="shared" ref="J42" si="191">I42+J41</f>
        <v>797.88901794145409</v>
      </c>
      <c r="K42" s="45">
        <f t="shared" ref="K42" si="192">J42+K41</f>
        <v>797.88901794145409</v>
      </c>
      <c r="L42" s="45">
        <f t="shared" ref="L42" si="193">K42+L41</f>
        <v>797.88901794145409</v>
      </c>
      <c r="M42" s="45">
        <f>L42+M41</f>
        <v>797.88901794145409</v>
      </c>
      <c r="N42" s="45">
        <f t="shared" ref="N42:AK42" si="194">M42+N41</f>
        <v>797.88901794145409</v>
      </c>
      <c r="O42" s="45">
        <f t="shared" si="194"/>
        <v>797.88901794145409</v>
      </c>
      <c r="P42" s="45">
        <f t="shared" si="194"/>
        <v>797.88901794145409</v>
      </c>
      <c r="Q42" s="45">
        <f t="shared" si="194"/>
        <v>797.88901794145409</v>
      </c>
      <c r="R42" s="45">
        <f t="shared" si="194"/>
        <v>797.88901794145409</v>
      </c>
      <c r="S42" s="45">
        <f t="shared" si="194"/>
        <v>797.88901794145409</v>
      </c>
      <c r="T42" s="45">
        <f t="shared" si="194"/>
        <v>797.88901794145409</v>
      </c>
      <c r="U42" s="45">
        <f t="shared" si="194"/>
        <v>797.88901794145409</v>
      </c>
      <c r="V42" s="45">
        <f t="shared" si="194"/>
        <v>797.88901794145409</v>
      </c>
      <c r="W42" s="45">
        <f t="shared" si="194"/>
        <v>797.88901794145409</v>
      </c>
      <c r="X42" s="45">
        <f t="shared" si="194"/>
        <v>797.88901794145409</v>
      </c>
      <c r="Y42" s="45">
        <f t="shared" si="194"/>
        <v>797.88901794145409</v>
      </c>
      <c r="Z42" s="45">
        <f t="shared" si="194"/>
        <v>797.88901794145409</v>
      </c>
      <c r="AA42" s="45">
        <f t="shared" si="194"/>
        <v>797.88901794145409</v>
      </c>
      <c r="AB42" s="45">
        <f t="shared" si="194"/>
        <v>797.88901794145409</v>
      </c>
      <c r="AC42" s="45">
        <f t="shared" si="194"/>
        <v>797.88901794145409</v>
      </c>
      <c r="AD42" s="45">
        <f t="shared" si="194"/>
        <v>797.88901794145409</v>
      </c>
      <c r="AE42" s="45">
        <f t="shared" si="194"/>
        <v>797.88901794145409</v>
      </c>
      <c r="AF42" s="45">
        <f t="shared" si="194"/>
        <v>797.88901794145409</v>
      </c>
      <c r="AG42" s="45">
        <f t="shared" si="194"/>
        <v>797.88901794145409</v>
      </c>
      <c r="AH42" s="45">
        <f t="shared" si="194"/>
        <v>797.88901794145409</v>
      </c>
      <c r="AI42" s="45">
        <f t="shared" si="194"/>
        <v>797.88901794145409</v>
      </c>
      <c r="AJ42" s="45">
        <f t="shared" si="194"/>
        <v>797.88901794145409</v>
      </c>
      <c r="AK42" s="46">
        <f t="shared" si="194"/>
        <v>797.88901794145409</v>
      </c>
    </row>
    <row r="43" spans="2:37" x14ac:dyDescent="0.25">
      <c r="B43" s="230" t="s">
        <v>214</v>
      </c>
      <c r="C43" s="228"/>
      <c r="D43" s="228"/>
      <c r="E43" s="228"/>
      <c r="F43" s="228"/>
      <c r="G43" s="228"/>
      <c r="H43" s="228"/>
      <c r="I43" s="228"/>
      <c r="J43" s="228"/>
      <c r="K43" s="228"/>
      <c r="L43" s="228"/>
      <c r="M43" s="228"/>
      <c r="N43" s="228"/>
      <c r="O43" s="228"/>
      <c r="P43" s="228"/>
      <c r="Q43" s="228"/>
      <c r="R43" s="228"/>
      <c r="S43" s="228"/>
      <c r="T43" s="228"/>
      <c r="U43" s="228"/>
      <c r="V43" s="228"/>
      <c r="W43" s="228"/>
      <c r="X43" s="228"/>
      <c r="Y43" s="228"/>
      <c r="Z43" s="228"/>
      <c r="AA43" s="228"/>
      <c r="AB43" s="228"/>
      <c r="AC43" s="228"/>
      <c r="AD43" s="228"/>
      <c r="AE43" s="228"/>
      <c r="AF43" s="228"/>
      <c r="AG43" s="228"/>
      <c r="AH43" s="228"/>
      <c r="AI43" s="228"/>
      <c r="AJ43" s="228"/>
      <c r="AK43" s="229"/>
    </row>
    <row r="44" spans="2:37" x14ac:dyDescent="0.25">
      <c r="B44" s="40" t="s">
        <v>221</v>
      </c>
      <c r="C44" s="42">
        <f>'Premissas Adotadas'!$E$23</f>
        <v>0.33333333333333337</v>
      </c>
      <c r="D44" s="42">
        <f>'Premissas Adotadas'!$E$23</f>
        <v>0.33333333333333337</v>
      </c>
      <c r="E44" s="42">
        <f>'Premissas Adotadas'!$E$23</f>
        <v>0.33333333333333337</v>
      </c>
      <c r="F44" s="42">
        <f>'Premissas Adotadas'!$E$23</f>
        <v>0.33333333333333337</v>
      </c>
      <c r="G44" s="42">
        <f>'Premissas Adotadas'!$E$23</f>
        <v>0.33333333333333337</v>
      </c>
      <c r="H44" s="42">
        <f>'Premissas Adotadas'!$E$23</f>
        <v>0.33333333333333337</v>
      </c>
      <c r="I44" s="42">
        <f>'Premissas Adotadas'!$E$23</f>
        <v>0.33333333333333337</v>
      </c>
      <c r="J44" s="42">
        <f>'Premissas Adotadas'!$E$23</f>
        <v>0.33333333333333337</v>
      </c>
      <c r="K44" s="42">
        <f>'Premissas Adotadas'!$E$23</f>
        <v>0.33333333333333337</v>
      </c>
      <c r="L44" s="42">
        <f>'Premissas Adotadas'!$E$23</f>
        <v>0.33333333333333337</v>
      </c>
      <c r="M44" s="42">
        <f>'Premissas Adotadas'!$E$23</f>
        <v>0.33333333333333337</v>
      </c>
      <c r="N44" s="42">
        <f>'Premissas Adotadas'!$E$23</f>
        <v>0.33333333333333337</v>
      </c>
      <c r="O44" s="42">
        <f>'Premissas Adotadas'!$E$23</f>
        <v>0.33333333333333337</v>
      </c>
      <c r="P44" s="42">
        <f>'Premissas Adotadas'!$E$23</f>
        <v>0.33333333333333337</v>
      </c>
      <c r="Q44" s="42">
        <f>'Premissas Adotadas'!$E$23</f>
        <v>0.33333333333333337</v>
      </c>
      <c r="R44" s="42">
        <f>'Premissas Adotadas'!$E$23</f>
        <v>0.33333333333333337</v>
      </c>
      <c r="S44" s="42">
        <f>'Premissas Adotadas'!$E$23</f>
        <v>0.33333333333333337</v>
      </c>
      <c r="T44" s="42">
        <f>'Premissas Adotadas'!$E$23</f>
        <v>0.33333333333333337</v>
      </c>
      <c r="U44" s="42">
        <f>'Premissas Adotadas'!$E$23</f>
        <v>0.33333333333333337</v>
      </c>
      <c r="V44" s="42">
        <f>'Premissas Adotadas'!$E$23</f>
        <v>0.33333333333333337</v>
      </c>
      <c r="W44" s="42">
        <f>'Premissas Adotadas'!$E$23</f>
        <v>0.33333333333333337</v>
      </c>
      <c r="X44" s="42">
        <f>'Premissas Adotadas'!$E$23</f>
        <v>0.33333333333333337</v>
      </c>
      <c r="Y44" s="42">
        <f>'Premissas Adotadas'!$E$23</f>
        <v>0.33333333333333337</v>
      </c>
      <c r="Z44" s="42">
        <f>'Premissas Adotadas'!$E$23</f>
        <v>0.33333333333333337</v>
      </c>
      <c r="AA44" s="42">
        <f>'Premissas Adotadas'!$E$23</f>
        <v>0.33333333333333337</v>
      </c>
      <c r="AB44" s="42">
        <f>'Premissas Adotadas'!$E$23</f>
        <v>0.33333333333333337</v>
      </c>
      <c r="AC44" s="42">
        <f>'Premissas Adotadas'!$E$23</f>
        <v>0.33333333333333337</v>
      </c>
      <c r="AD44" s="42">
        <f>'Premissas Adotadas'!$E$23</f>
        <v>0.33333333333333337</v>
      </c>
      <c r="AE44" s="42">
        <f>'Premissas Adotadas'!$E$23</f>
        <v>0.33333333333333337</v>
      </c>
      <c r="AF44" s="42">
        <f>'Premissas Adotadas'!$E$23</f>
        <v>0.33333333333333337</v>
      </c>
      <c r="AG44" s="42">
        <f>'Premissas Adotadas'!$E$23</f>
        <v>0.33333333333333337</v>
      </c>
      <c r="AH44" s="42">
        <f>'Premissas Adotadas'!$E$23</f>
        <v>0.33333333333333337</v>
      </c>
      <c r="AI44" s="42">
        <f>'Premissas Adotadas'!$E$23</f>
        <v>0.33333333333333337</v>
      </c>
      <c r="AJ44" s="42">
        <f>'Premissas Adotadas'!$E$23</f>
        <v>0.33333333333333337</v>
      </c>
      <c r="AK44" s="43">
        <f>'Premissas Adotadas'!$E$23</f>
        <v>0.33333333333333337</v>
      </c>
    </row>
    <row r="45" spans="2:37" x14ac:dyDescent="0.25">
      <c r="B45" s="49" t="s">
        <v>222</v>
      </c>
      <c r="C45" s="47">
        <f>C44*C33*'Premissas Adotadas'!$F$11</f>
        <v>0</v>
      </c>
      <c r="D45" s="47">
        <f>D44*D33*'Premissas Adotadas'!$F$11</f>
        <v>0</v>
      </c>
      <c r="E45" s="47">
        <f>E44*E33*'Premissas Adotadas'!$F$11</f>
        <v>65.872577903682711</v>
      </c>
      <c r="F45" s="47">
        <f>F44*F33*'Premissas Adotadas'!$F$11</f>
        <v>237.3786591123702</v>
      </c>
      <c r="G45" s="47">
        <f>G44*G33*'Premissas Adotadas'!$F$11</f>
        <v>178.44940698772425</v>
      </c>
      <c r="H45" s="47">
        <f>H44*H33*'Premissas Adotadas'!$F$11</f>
        <v>241.11737299338995</v>
      </c>
      <c r="I45" s="47">
        <f>I44*I33*'Premissas Adotadas'!$F$11</f>
        <v>75.07100094428705</v>
      </c>
      <c r="J45" s="47">
        <f>J44*J33*'Premissas Adotadas'!$F$11</f>
        <v>0</v>
      </c>
      <c r="K45" s="47">
        <f>K44*K33*'Premissas Adotadas'!$F$11</f>
        <v>0</v>
      </c>
      <c r="L45" s="47">
        <f>L44*L33*'Premissas Adotadas'!$F$11</f>
        <v>0</v>
      </c>
      <c r="M45" s="47">
        <f>M44*M33*'Premissas Adotadas'!$F$11</f>
        <v>0</v>
      </c>
      <c r="N45" s="47">
        <f>N44*N33*'Premissas Adotadas'!$F$11</f>
        <v>0</v>
      </c>
      <c r="O45" s="47">
        <f>O44*O33*'Premissas Adotadas'!$F$11</f>
        <v>0</v>
      </c>
      <c r="P45" s="47">
        <f>P44*P33*'Premissas Adotadas'!$F$11</f>
        <v>0</v>
      </c>
      <c r="Q45" s="47">
        <f>Q44*Q33*'Premissas Adotadas'!$F$11</f>
        <v>0</v>
      </c>
      <c r="R45" s="47">
        <f>R44*R33*'Premissas Adotadas'!$F$11</f>
        <v>0</v>
      </c>
      <c r="S45" s="47">
        <f>S44*S33*'Premissas Adotadas'!$F$11</f>
        <v>0</v>
      </c>
      <c r="T45" s="47">
        <f>T44*T33*'Premissas Adotadas'!$F$11</f>
        <v>0</v>
      </c>
      <c r="U45" s="47">
        <f>U44*U33*'Premissas Adotadas'!$F$11</f>
        <v>0</v>
      </c>
      <c r="V45" s="47">
        <f>V44*V33*'Premissas Adotadas'!$F$11</f>
        <v>0</v>
      </c>
      <c r="W45" s="47">
        <f>W44*W33*'Premissas Adotadas'!$F$11</f>
        <v>0</v>
      </c>
      <c r="X45" s="47">
        <f>X44*X33*'Premissas Adotadas'!$F$11</f>
        <v>0</v>
      </c>
      <c r="Y45" s="47">
        <f>Y44*Y33*'Premissas Adotadas'!$F$11</f>
        <v>0</v>
      </c>
      <c r="Z45" s="47">
        <f>Z44*Z33*'Premissas Adotadas'!$F$11</f>
        <v>0</v>
      </c>
      <c r="AA45" s="47">
        <f>AA44*AA33*'Premissas Adotadas'!$F$11</f>
        <v>0</v>
      </c>
      <c r="AB45" s="47">
        <f>AB44*AB33*'Premissas Adotadas'!$F$11</f>
        <v>0</v>
      </c>
      <c r="AC45" s="47">
        <f>AC44*AC33*'Premissas Adotadas'!$F$11</f>
        <v>0</v>
      </c>
      <c r="AD45" s="47">
        <f>AD44*AD33*'Premissas Adotadas'!$F$11</f>
        <v>0</v>
      </c>
      <c r="AE45" s="47">
        <f>AE44*AE33*'Premissas Adotadas'!$F$11</f>
        <v>0</v>
      </c>
      <c r="AF45" s="47">
        <f>AF44*AF33*'Premissas Adotadas'!$F$11</f>
        <v>0</v>
      </c>
      <c r="AG45" s="47">
        <f>AG44*AG33*'Premissas Adotadas'!$F$11</f>
        <v>0</v>
      </c>
      <c r="AH45" s="47">
        <f>AH44*AH33*'Premissas Adotadas'!$F$11</f>
        <v>0</v>
      </c>
      <c r="AI45" s="47">
        <f>AI44*AI33*'Premissas Adotadas'!$F$11</f>
        <v>0</v>
      </c>
      <c r="AJ45" s="47">
        <f>AJ44*AJ33*'Premissas Adotadas'!$F$11</f>
        <v>0</v>
      </c>
      <c r="AK45" s="48">
        <f>AK44*AK33*'Premissas Adotadas'!$F$11</f>
        <v>0</v>
      </c>
    </row>
    <row r="46" spans="2:37" ht="15.75" thickBot="1" x14ac:dyDescent="0.3">
      <c r="B46" s="50" t="s">
        <v>223</v>
      </c>
      <c r="C46" s="51">
        <f>C45</f>
        <v>0</v>
      </c>
      <c r="D46" s="51">
        <f>D45</f>
        <v>0</v>
      </c>
      <c r="E46" s="51">
        <f>D46+E45</f>
        <v>65.872577903682711</v>
      </c>
      <c r="F46" s="51">
        <f t="shared" ref="F46" si="195">E46+F45</f>
        <v>303.25123701605293</v>
      </c>
      <c r="G46" s="51">
        <f t="shared" ref="G46" si="196">F46+G45</f>
        <v>481.70064400377714</v>
      </c>
      <c r="H46" s="51">
        <f t="shared" ref="H46" si="197">G46+H45</f>
        <v>722.81801699716709</v>
      </c>
      <c r="I46" s="51">
        <f t="shared" ref="I46" si="198">H46+I45</f>
        <v>797.88901794145409</v>
      </c>
      <c r="J46" s="51">
        <f t="shared" ref="J46" si="199">I46+J45</f>
        <v>797.88901794145409</v>
      </c>
      <c r="K46" s="51">
        <f t="shared" ref="K46" si="200">J46+K45</f>
        <v>797.88901794145409</v>
      </c>
      <c r="L46" s="51">
        <f t="shared" ref="L46" si="201">K46+L45</f>
        <v>797.88901794145409</v>
      </c>
      <c r="M46" s="51">
        <f t="shared" ref="M46" si="202">L46+M45</f>
        <v>797.88901794145409</v>
      </c>
      <c r="N46" s="51">
        <f t="shared" ref="N46" si="203">M46+N45</f>
        <v>797.88901794145409</v>
      </c>
      <c r="O46" s="51">
        <f t="shared" ref="O46" si="204">N46+O45</f>
        <v>797.88901794145409</v>
      </c>
      <c r="P46" s="51">
        <f t="shared" ref="P46" si="205">O46+P45</f>
        <v>797.88901794145409</v>
      </c>
      <c r="Q46" s="51">
        <f t="shared" ref="Q46" si="206">P46+Q45</f>
        <v>797.88901794145409</v>
      </c>
      <c r="R46" s="51">
        <f t="shared" ref="R46" si="207">Q46+R45</f>
        <v>797.88901794145409</v>
      </c>
      <c r="S46" s="51">
        <f t="shared" ref="S46" si="208">R46+S45</f>
        <v>797.88901794145409</v>
      </c>
      <c r="T46" s="51">
        <f t="shared" ref="T46" si="209">S46+T45</f>
        <v>797.88901794145409</v>
      </c>
      <c r="U46" s="51">
        <f t="shared" ref="U46" si="210">T46+U45</f>
        <v>797.88901794145409</v>
      </c>
      <c r="V46" s="51">
        <f t="shared" ref="V46" si="211">U46+V45</f>
        <v>797.88901794145409</v>
      </c>
      <c r="W46" s="51">
        <f t="shared" ref="W46" si="212">V46+W45</f>
        <v>797.88901794145409</v>
      </c>
      <c r="X46" s="51">
        <f t="shared" ref="X46" si="213">W46+X45</f>
        <v>797.88901794145409</v>
      </c>
      <c r="Y46" s="51">
        <f t="shared" ref="Y46" si="214">X46+Y45</f>
        <v>797.88901794145409</v>
      </c>
      <c r="Z46" s="51">
        <f t="shared" ref="Z46" si="215">Y46+Z45</f>
        <v>797.88901794145409</v>
      </c>
      <c r="AA46" s="51">
        <f t="shared" ref="AA46" si="216">Z46+AA45</f>
        <v>797.88901794145409</v>
      </c>
      <c r="AB46" s="51">
        <f t="shared" ref="AB46" si="217">AA46+AB45</f>
        <v>797.88901794145409</v>
      </c>
      <c r="AC46" s="51">
        <f t="shared" ref="AC46" si="218">AB46+AC45</f>
        <v>797.88901794145409</v>
      </c>
      <c r="AD46" s="51">
        <f t="shared" ref="AD46" si="219">AC46+AD45</f>
        <v>797.88901794145409</v>
      </c>
      <c r="AE46" s="51">
        <f t="shared" ref="AE46" si="220">AD46+AE45</f>
        <v>797.88901794145409</v>
      </c>
      <c r="AF46" s="51">
        <f t="shared" ref="AF46" si="221">AE46+AF45</f>
        <v>797.88901794145409</v>
      </c>
      <c r="AG46" s="51">
        <f t="shared" ref="AG46" si="222">AF46+AG45</f>
        <v>797.88901794145409</v>
      </c>
      <c r="AH46" s="51">
        <f t="shared" ref="AH46" si="223">AG46+AH45</f>
        <v>797.88901794145409</v>
      </c>
      <c r="AI46" s="51">
        <f t="shared" ref="AI46" si="224">AH46+AI45</f>
        <v>797.88901794145409</v>
      </c>
      <c r="AJ46" s="51">
        <f t="shared" ref="AJ46" si="225">AI46+AJ45</f>
        <v>797.88901794145409</v>
      </c>
      <c r="AK46" s="52">
        <f t="shared" ref="AK46" si="226">AJ46+AK45</f>
        <v>797.88901794145409</v>
      </c>
    </row>
    <row r="47" spans="2:37" ht="11.25" customHeight="1" thickBot="1" x14ac:dyDescent="0.3">
      <c r="B47" s="39"/>
      <c r="C47" s="38"/>
      <c r="D47" s="38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</row>
    <row r="48" spans="2:37" x14ac:dyDescent="0.25">
      <c r="B48" s="566" t="s">
        <v>853</v>
      </c>
      <c r="C48" s="567"/>
      <c r="D48" s="567"/>
      <c r="E48" s="567"/>
      <c r="F48" s="567"/>
      <c r="G48" s="567"/>
      <c r="H48" s="567"/>
      <c r="I48" s="567"/>
      <c r="J48" s="567"/>
      <c r="K48" s="567"/>
      <c r="L48" s="567"/>
      <c r="M48" s="567"/>
      <c r="N48" s="567"/>
      <c r="O48" s="567"/>
      <c r="P48" s="567"/>
      <c r="Q48" s="567"/>
      <c r="R48" s="567"/>
      <c r="S48" s="567"/>
      <c r="T48" s="567"/>
      <c r="U48" s="567"/>
      <c r="V48" s="567"/>
      <c r="W48" s="567"/>
      <c r="X48" s="567"/>
      <c r="Y48" s="567"/>
      <c r="Z48" s="567"/>
      <c r="AA48" s="567"/>
      <c r="AB48" s="567"/>
      <c r="AC48" s="567"/>
      <c r="AD48" s="567"/>
      <c r="AE48" s="567"/>
      <c r="AF48" s="567"/>
      <c r="AG48" s="567"/>
      <c r="AH48" s="567"/>
      <c r="AI48" s="567"/>
      <c r="AJ48" s="567"/>
      <c r="AK48" s="568"/>
    </row>
    <row r="49" spans="2:37" x14ac:dyDescent="0.25">
      <c r="B49" s="230" t="s">
        <v>212</v>
      </c>
      <c r="C49" s="228"/>
      <c r="D49" s="228"/>
      <c r="E49" s="228"/>
      <c r="F49" s="228"/>
      <c r="G49" s="228"/>
      <c r="H49" s="228"/>
      <c r="I49" s="228"/>
      <c r="J49" s="228"/>
      <c r="K49" s="228"/>
      <c r="L49" s="228"/>
      <c r="M49" s="228"/>
      <c r="N49" s="228"/>
      <c r="O49" s="228"/>
      <c r="P49" s="228"/>
      <c r="Q49" s="228"/>
      <c r="R49" s="228"/>
      <c r="S49" s="228"/>
      <c r="T49" s="228"/>
      <c r="U49" s="228"/>
      <c r="V49" s="228"/>
      <c r="W49" s="228"/>
      <c r="X49" s="228"/>
      <c r="Y49" s="228"/>
      <c r="Z49" s="228"/>
      <c r="AA49" s="228"/>
      <c r="AB49" s="228"/>
      <c r="AC49" s="228"/>
      <c r="AD49" s="228"/>
      <c r="AE49" s="228"/>
      <c r="AF49" s="228"/>
      <c r="AG49" s="228"/>
      <c r="AH49" s="228"/>
      <c r="AI49" s="228"/>
      <c r="AJ49" s="228"/>
      <c r="AK49" s="229"/>
    </row>
    <row r="50" spans="2:37" x14ac:dyDescent="0.25">
      <c r="B50" s="40" t="s">
        <v>849</v>
      </c>
      <c r="C50" s="41"/>
      <c r="D50" s="42"/>
      <c r="E50" s="41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7">
        <f>T38/3</f>
        <v>265.9630059804847</v>
      </c>
      <c r="U50" s="42"/>
      <c r="V50" s="47">
        <f>V38/3</f>
        <v>265.9630059804847</v>
      </c>
      <c r="W50" s="42"/>
      <c r="X50" s="47">
        <f>X38/3</f>
        <v>265.9630059804847</v>
      </c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3"/>
    </row>
    <row r="51" spans="2:37" x14ac:dyDescent="0.25">
      <c r="B51" s="49" t="s">
        <v>850</v>
      </c>
      <c r="C51" s="47">
        <f>IF(C9&lt;=2,0,HLOOKUP(C9-'Premissas Adotadas'!$D$44,'Cronograma de Implantação'!$C$9:$AK$42,30,FALSE))-C50</f>
        <v>0</v>
      </c>
      <c r="D51" s="47">
        <f>IF(D9&lt;=2,0,HLOOKUP(D9-'Premissas Adotadas'!$D$44,'Cronograma de Implantação'!$C$9:$AK$42,30,FALSE))-D50</f>
        <v>0</v>
      </c>
      <c r="E51" s="47">
        <f>IF(E9&lt;=2,0,HLOOKUP(E9-'Premissas Adotadas'!$D$44,'Cronograma de Implantação'!$C$9:$AK$42,30,FALSE))-E50</f>
        <v>0</v>
      </c>
      <c r="F51" s="47">
        <f>IF(F9&lt;=2,0,HLOOKUP(F9-'Premissas Adotadas'!$D$44,'Cronograma de Implantação'!$C$9:$AK$42,30,FALSE))-F50</f>
        <v>65.872577903682711</v>
      </c>
      <c r="G51" s="47">
        <f>IF(G9&lt;=2,0,HLOOKUP(G9-'Premissas Adotadas'!$D$44,'Cronograma de Implantação'!$C$9:$AK$42,30,FALSE))-G50</f>
        <v>303.25123701605293</v>
      </c>
      <c r="H51" s="47">
        <f>IF(H9&lt;=2,0,HLOOKUP(H9-'Premissas Adotadas'!$D$44,'Cronograma de Implantação'!$C$9:$AK$42,30,FALSE))-H50</f>
        <v>481.70064400377714</v>
      </c>
      <c r="I51" s="47">
        <f>IF(I9&lt;=2,0,HLOOKUP(I9-'Premissas Adotadas'!$D$44,'Cronograma de Implantação'!$C$9:$AK$42,30,FALSE))-I50</f>
        <v>722.81801699716709</v>
      </c>
      <c r="J51" s="47">
        <f>IF(J9&lt;=2,0,HLOOKUP(J9-'Premissas Adotadas'!$D$44,'Cronograma de Implantação'!$C$9:$AK$42,30,FALSE))-J50</f>
        <v>797.88901794145409</v>
      </c>
      <c r="K51" s="47">
        <f>IF(K9&lt;=2,0,HLOOKUP(K9-'Premissas Adotadas'!$D$44,'Cronograma de Implantação'!$C$9:$AK$42,30,FALSE))-K50</f>
        <v>797.88901794145409</v>
      </c>
      <c r="L51" s="47">
        <f>IF(L9&lt;=2,0,HLOOKUP(L9-'Premissas Adotadas'!$D$44,'Cronograma de Implantação'!$C$9:$AK$42,30,FALSE))-L50</f>
        <v>797.88901794145409</v>
      </c>
      <c r="M51" s="47">
        <f>IF(M9&lt;=2,0,HLOOKUP(M9-'Premissas Adotadas'!$D$44,'Cronograma de Implantação'!$C$9:$AK$42,30,FALSE))-M50</f>
        <v>797.88901794145409</v>
      </c>
      <c r="N51" s="47">
        <f>IF(N9&lt;=2,0,HLOOKUP(N9-'Premissas Adotadas'!$D$44,'Cronograma de Implantação'!$C$9:$AK$42,30,FALSE))-N50</f>
        <v>797.88901794145409</v>
      </c>
      <c r="O51" s="47">
        <f>IF(O9&lt;=2,0,HLOOKUP(O9-'Premissas Adotadas'!$D$44,'Cronograma de Implantação'!$C$9:$AK$42,30,FALSE))-O50</f>
        <v>797.88901794145409</v>
      </c>
      <c r="P51" s="47">
        <f>IF(P9&lt;=2,0,HLOOKUP(P9-'Premissas Adotadas'!$D$44,'Cronograma de Implantação'!$C$9:$AK$42,30,FALSE))-P50</f>
        <v>797.88901794145409</v>
      </c>
      <c r="Q51" s="47">
        <f>IF(Q9&lt;=2,0,HLOOKUP(Q9-'Premissas Adotadas'!$D$44,'Cronograma de Implantação'!$C$9:$AK$42,30,FALSE))-Q50</f>
        <v>797.88901794145409</v>
      </c>
      <c r="R51" s="47">
        <f>IF(R9&lt;=2,0,HLOOKUP(R9-'Premissas Adotadas'!$D$44,'Cronograma de Implantação'!$C$9:$AK$42,30,FALSE))-R50</f>
        <v>797.88901794145409</v>
      </c>
      <c r="S51" s="47">
        <f>IF(S9&lt;=2,0,HLOOKUP(S9-'Premissas Adotadas'!$D$44,'Cronograma de Implantação'!$C$9:$AK$42,30,FALSE))-S50</f>
        <v>797.88901794145409</v>
      </c>
      <c r="T51" s="47">
        <f>IF(T9&lt;=2,0,HLOOKUP(T9-'Premissas Adotadas'!$D$44,'Cronograma de Implantação'!$C$9:$AK$42,30,FALSE))-T50</f>
        <v>531.92601196096939</v>
      </c>
      <c r="U51" s="47">
        <f>IF(U9&lt;=2,0,HLOOKUP(U9-'Premissas Adotadas'!$D$44,'Cronograma de Implantação'!$C$9:$AK$42,30,FALSE))-U50</f>
        <v>797.88901794145409</v>
      </c>
      <c r="V51" s="47">
        <f>IF(V9&lt;=2,0,HLOOKUP(V9-'Premissas Adotadas'!$D$44,'Cronograma de Implantação'!$C$9:$AK$42,30,FALSE))-V50</f>
        <v>531.92601196096939</v>
      </c>
      <c r="W51" s="47">
        <f>IF(W9&lt;=2,0,HLOOKUP(W9-'Premissas Adotadas'!$D$44,'Cronograma de Implantação'!$C$9:$AK$42,30,FALSE))-W50</f>
        <v>797.88901794145409</v>
      </c>
      <c r="X51" s="47">
        <f>IF(X9&lt;=2,0,HLOOKUP(X9-'Premissas Adotadas'!$D$44,'Cronograma de Implantação'!$C$9:$AK$42,30,FALSE))-X50</f>
        <v>531.92601196096939</v>
      </c>
      <c r="Y51" s="47">
        <f>IF(Y9&lt;=2,0,HLOOKUP(Y9-'Premissas Adotadas'!$D$44,'Cronograma de Implantação'!$C$9:$AK$42,30,FALSE))-Y50</f>
        <v>797.88901794145409</v>
      </c>
      <c r="Z51" s="47">
        <f>IF(Z9&lt;=2,0,HLOOKUP(Z9-'Premissas Adotadas'!$D$44,'Cronograma de Implantação'!$C$9:$AK$42,30,FALSE))-Z50</f>
        <v>797.88901794145409</v>
      </c>
      <c r="AA51" s="47">
        <f>IF(AA9&lt;=2,0,HLOOKUP(AA9-'Premissas Adotadas'!$D$44,'Cronograma de Implantação'!$C$9:$AK$42,30,FALSE))-AA50</f>
        <v>797.88901794145409</v>
      </c>
      <c r="AB51" s="47">
        <f>IF(AB9&lt;=2,0,HLOOKUP(AB9-'Premissas Adotadas'!$D$44,'Cronograma de Implantação'!$C$9:$AK$42,30,FALSE))-AB50</f>
        <v>797.88901794145409</v>
      </c>
      <c r="AC51" s="47">
        <f>IF(AC9&lt;=2,0,HLOOKUP(AC9-'Premissas Adotadas'!$D$44,'Cronograma de Implantação'!$C$9:$AK$42,30,FALSE))-AC50</f>
        <v>797.88901794145409</v>
      </c>
      <c r="AD51" s="47">
        <f>IF(AD9&lt;=2,0,HLOOKUP(AD9-'Premissas Adotadas'!$D$44,'Cronograma de Implantação'!$C$9:$AK$42,30,FALSE))-AD50</f>
        <v>797.88901794145409</v>
      </c>
      <c r="AE51" s="47">
        <f>IF(AE9&lt;=2,0,HLOOKUP(AE9-'Premissas Adotadas'!$D$44,'Cronograma de Implantação'!$C$9:$AK$42,30,FALSE))-AE50</f>
        <v>797.88901794145409</v>
      </c>
      <c r="AF51" s="47">
        <f>IF(AF9&lt;=2,0,HLOOKUP(AF9-'Premissas Adotadas'!$D$44,'Cronograma de Implantação'!$C$9:$AK$42,30,FALSE))-AF50</f>
        <v>797.88901794145409</v>
      </c>
      <c r="AG51" s="47">
        <f>IF(AG9&lt;=2,0,HLOOKUP(AG9-'Premissas Adotadas'!$D$44,'Cronograma de Implantação'!$C$9:$AK$42,30,FALSE))-AG50</f>
        <v>797.88901794145409</v>
      </c>
      <c r="AH51" s="47">
        <f>IF(AH9&lt;=2,0,HLOOKUP(AH9-'Premissas Adotadas'!$D$44,'Cronograma de Implantação'!$C$9:$AK$42,30,FALSE))-AH50</f>
        <v>797.88901794145409</v>
      </c>
      <c r="AI51" s="47">
        <f>IF(AI9&lt;=2,0,HLOOKUP(AI9-'Premissas Adotadas'!$D$44,'Cronograma de Implantação'!$C$9:$AK$42,30,FALSE))-AI50</f>
        <v>797.88901794145409</v>
      </c>
      <c r="AJ51" s="47">
        <f>IF(AJ9&lt;=2,0,HLOOKUP(AJ9-'Premissas Adotadas'!$D$44,'Cronograma de Implantação'!$C$9:$AK$42,30,FALSE))-AJ50</f>
        <v>797.88901794145409</v>
      </c>
      <c r="AK51" s="48">
        <f>IF(AK9&lt;=2,0,HLOOKUP(AK9-'Premissas Adotadas'!$D$44,'Cronograma de Implantação'!$C$9:$AK$42,30,FALSE))-AK50</f>
        <v>797.88901794145409</v>
      </c>
    </row>
    <row r="52" spans="2:37" x14ac:dyDescent="0.25">
      <c r="B52" s="502" t="s">
        <v>851</v>
      </c>
      <c r="C52" s="503">
        <v>29.642857142857142</v>
      </c>
      <c r="D52" s="503">
        <v>29.642857142857142</v>
      </c>
      <c r="E52" s="503">
        <v>29.642857142857142</v>
      </c>
      <c r="F52" s="503">
        <v>29.642857142857142</v>
      </c>
      <c r="G52" s="503">
        <v>29.642857142857142</v>
      </c>
      <c r="H52" s="503">
        <v>29.642857142857142</v>
      </c>
      <c r="I52" s="503">
        <v>29.642857142857142</v>
      </c>
      <c r="J52" s="503">
        <v>29.642857142857142</v>
      </c>
      <c r="K52" s="503">
        <v>29.642857142857142</v>
      </c>
      <c r="L52" s="503">
        <v>29.642857142857142</v>
      </c>
      <c r="M52" s="503">
        <v>29.642857142857142</v>
      </c>
      <c r="N52" s="503">
        <v>29.642857142857142</v>
      </c>
      <c r="O52" s="503">
        <v>29.642857142857142</v>
      </c>
      <c r="P52" s="503">
        <v>29.642857142857142</v>
      </c>
      <c r="Q52" s="503">
        <v>29.642857142857142</v>
      </c>
      <c r="R52" s="503">
        <v>29.642857142857142</v>
      </c>
      <c r="S52" s="503">
        <v>29.642857142857142</v>
      </c>
      <c r="T52" s="503">
        <v>29.642857142857142</v>
      </c>
      <c r="U52" s="503">
        <v>29.642857142857142</v>
      </c>
      <c r="V52" s="503">
        <v>29.642857142857142</v>
      </c>
      <c r="W52" s="503">
        <v>29.642857142857142</v>
      </c>
      <c r="X52" s="503">
        <v>29.642857142857142</v>
      </c>
      <c r="Y52" s="503">
        <v>29.642857142857142</v>
      </c>
      <c r="Z52" s="503">
        <v>29.642857142857142</v>
      </c>
      <c r="AA52" s="503">
        <v>29.642857142857142</v>
      </c>
      <c r="AB52" s="503">
        <v>29.642857142857142</v>
      </c>
      <c r="AC52" s="503">
        <v>29.642857142857142</v>
      </c>
      <c r="AD52" s="503">
        <v>29.642857142857142</v>
      </c>
      <c r="AE52" s="503">
        <v>29.642857142857142</v>
      </c>
      <c r="AF52" s="503">
        <v>29.642857142857142</v>
      </c>
      <c r="AG52" s="503">
        <v>29.642857142857142</v>
      </c>
      <c r="AH52" s="503">
        <v>29.642857142857142</v>
      </c>
      <c r="AI52" s="503">
        <v>29.642857142857142</v>
      </c>
      <c r="AJ52" s="503">
        <v>29.642857142857142</v>
      </c>
      <c r="AK52" s="569">
        <v>29.642857142857142</v>
      </c>
    </row>
    <row r="53" spans="2:37" x14ac:dyDescent="0.25">
      <c r="B53" s="502" t="s">
        <v>848</v>
      </c>
      <c r="C53" s="504">
        <v>2</v>
      </c>
      <c r="D53" s="504">
        <v>2</v>
      </c>
      <c r="E53" s="504">
        <v>2</v>
      </c>
      <c r="F53" s="504">
        <v>2</v>
      </c>
      <c r="G53" s="504">
        <v>2</v>
      </c>
      <c r="H53" s="504">
        <v>2</v>
      </c>
      <c r="I53" s="504">
        <v>2</v>
      </c>
      <c r="J53" s="504">
        <v>2</v>
      </c>
      <c r="K53" s="504">
        <v>2</v>
      </c>
      <c r="L53" s="504">
        <v>2</v>
      </c>
      <c r="M53" s="504">
        <v>2</v>
      </c>
      <c r="N53" s="504">
        <v>2</v>
      </c>
      <c r="O53" s="504">
        <v>2</v>
      </c>
      <c r="P53" s="504">
        <v>2</v>
      </c>
      <c r="Q53" s="504">
        <v>2</v>
      </c>
      <c r="R53" s="504">
        <v>2</v>
      </c>
      <c r="S53" s="504">
        <v>2</v>
      </c>
      <c r="T53" s="504">
        <v>2</v>
      </c>
      <c r="U53" s="504">
        <v>2</v>
      </c>
      <c r="V53" s="504">
        <v>2</v>
      </c>
      <c r="W53" s="504">
        <v>2</v>
      </c>
      <c r="X53" s="504">
        <v>2</v>
      </c>
      <c r="Y53" s="504">
        <v>2</v>
      </c>
      <c r="Z53" s="504">
        <v>2</v>
      </c>
      <c r="AA53" s="504">
        <v>2</v>
      </c>
      <c r="AB53" s="504">
        <v>2</v>
      </c>
      <c r="AC53" s="504">
        <v>2</v>
      </c>
      <c r="AD53" s="504">
        <v>2</v>
      </c>
      <c r="AE53" s="504">
        <v>2</v>
      </c>
      <c r="AF53" s="504">
        <v>2</v>
      </c>
      <c r="AG53" s="504">
        <v>2</v>
      </c>
      <c r="AH53" s="504">
        <v>2</v>
      </c>
      <c r="AI53" s="504">
        <v>2</v>
      </c>
      <c r="AJ53" s="504">
        <v>2</v>
      </c>
      <c r="AK53" s="570">
        <v>2</v>
      </c>
    </row>
    <row r="54" spans="2:37" x14ac:dyDescent="0.25">
      <c r="B54" s="44" t="s">
        <v>852</v>
      </c>
      <c r="C54" s="501">
        <f>C51*C52*C53</f>
        <v>0</v>
      </c>
      <c r="D54" s="501">
        <f>D51*D52*D53</f>
        <v>0</v>
      </c>
      <c r="E54" s="501">
        <f>E51*E52*E53</f>
        <v>0</v>
      </c>
      <c r="F54" s="501">
        <f>E51*F52*F53+(F51-E51)*$F$6</f>
        <v>0</v>
      </c>
      <c r="G54" s="501">
        <f>F51*G52*G53+(G51-F51)*$F$6</f>
        <v>3905.302832861189</v>
      </c>
      <c r="H54" s="501">
        <f>G51*H52*H53+(H51-G51)*$F$6</f>
        <v>17978.466194523138</v>
      </c>
      <c r="I54" s="501">
        <f>H51*I52*I53+(I51-H51)*$F$6</f>
        <v>28557.966751652501</v>
      </c>
      <c r="J54" s="501">
        <f>I51*J52*J53+(J51-I51)*$F$6</f>
        <v>42852.782436260619</v>
      </c>
      <c r="K54" s="501">
        <f t="shared" ref="K54:AK54" si="227">K51*K52*K53</f>
        <v>47303.420349386208</v>
      </c>
      <c r="L54" s="501">
        <f t="shared" si="227"/>
        <v>47303.420349386208</v>
      </c>
      <c r="M54" s="501">
        <f t="shared" si="227"/>
        <v>47303.420349386208</v>
      </c>
      <c r="N54" s="501">
        <f t="shared" si="227"/>
        <v>47303.420349386208</v>
      </c>
      <c r="O54" s="501">
        <f t="shared" si="227"/>
        <v>47303.420349386208</v>
      </c>
      <c r="P54" s="501">
        <f t="shared" si="227"/>
        <v>47303.420349386208</v>
      </c>
      <c r="Q54" s="501">
        <f t="shared" si="227"/>
        <v>47303.420349386208</v>
      </c>
      <c r="R54" s="501">
        <f t="shared" si="227"/>
        <v>47303.420349386208</v>
      </c>
      <c r="S54" s="501">
        <f t="shared" si="227"/>
        <v>47303.420349386208</v>
      </c>
      <c r="T54" s="501">
        <f t="shared" si="227"/>
        <v>31535.613566257471</v>
      </c>
      <c r="U54" s="501">
        <f t="shared" si="227"/>
        <v>47303.420349386208</v>
      </c>
      <c r="V54" s="501">
        <f t="shared" si="227"/>
        <v>31535.613566257471</v>
      </c>
      <c r="W54" s="501">
        <f t="shared" si="227"/>
        <v>47303.420349386208</v>
      </c>
      <c r="X54" s="501">
        <f t="shared" si="227"/>
        <v>31535.613566257471</v>
      </c>
      <c r="Y54" s="501">
        <f t="shared" si="227"/>
        <v>47303.420349386208</v>
      </c>
      <c r="Z54" s="501">
        <f t="shared" si="227"/>
        <v>47303.420349386208</v>
      </c>
      <c r="AA54" s="501">
        <f t="shared" si="227"/>
        <v>47303.420349386208</v>
      </c>
      <c r="AB54" s="501">
        <f t="shared" si="227"/>
        <v>47303.420349386208</v>
      </c>
      <c r="AC54" s="501">
        <f t="shared" si="227"/>
        <v>47303.420349386208</v>
      </c>
      <c r="AD54" s="501">
        <f t="shared" si="227"/>
        <v>47303.420349386208</v>
      </c>
      <c r="AE54" s="501">
        <f t="shared" si="227"/>
        <v>47303.420349386208</v>
      </c>
      <c r="AF54" s="501">
        <f t="shared" si="227"/>
        <v>47303.420349386208</v>
      </c>
      <c r="AG54" s="501">
        <f t="shared" si="227"/>
        <v>47303.420349386208</v>
      </c>
      <c r="AH54" s="501">
        <f t="shared" si="227"/>
        <v>47303.420349386208</v>
      </c>
      <c r="AI54" s="501">
        <f t="shared" si="227"/>
        <v>47303.420349386208</v>
      </c>
      <c r="AJ54" s="501">
        <f t="shared" si="227"/>
        <v>47303.420349386208</v>
      </c>
      <c r="AK54" s="571">
        <f t="shared" si="227"/>
        <v>47303.420349386208</v>
      </c>
    </row>
    <row r="55" spans="2:37" x14ac:dyDescent="0.25">
      <c r="B55" s="230" t="s">
        <v>213</v>
      </c>
      <c r="C55" s="228"/>
      <c r="D55" s="228"/>
      <c r="E55" s="228"/>
      <c r="F55" s="228"/>
      <c r="G55" s="228"/>
      <c r="H55" s="228"/>
      <c r="I55" s="228"/>
      <c r="J55" s="228"/>
      <c r="K55" s="228"/>
      <c r="L55" s="228"/>
      <c r="M55" s="228"/>
      <c r="N55" s="228"/>
      <c r="O55" s="228"/>
      <c r="P55" s="228"/>
      <c r="Q55" s="228"/>
      <c r="R55" s="228"/>
      <c r="S55" s="228"/>
      <c r="T55" s="228"/>
      <c r="U55" s="228"/>
      <c r="V55" s="228"/>
      <c r="W55" s="228"/>
      <c r="X55" s="228"/>
      <c r="Y55" s="228"/>
      <c r="Z55" s="228"/>
      <c r="AA55" s="228"/>
      <c r="AB55" s="228"/>
      <c r="AC55" s="228"/>
      <c r="AD55" s="228"/>
      <c r="AE55" s="228"/>
      <c r="AF55" s="228"/>
      <c r="AG55" s="228"/>
      <c r="AH55" s="228"/>
      <c r="AI55" s="228"/>
      <c r="AJ55" s="228"/>
      <c r="AK55" s="229"/>
    </row>
    <row r="56" spans="2:37" x14ac:dyDescent="0.25">
      <c r="B56" s="40" t="s">
        <v>849</v>
      </c>
      <c r="C56" s="41"/>
      <c r="D56" s="42"/>
      <c r="E56" s="41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7"/>
      <c r="U56" s="47">
        <f>U42/3</f>
        <v>265.9630059804847</v>
      </c>
      <c r="V56" s="47"/>
      <c r="W56" s="42"/>
      <c r="X56" s="47"/>
      <c r="Y56" s="47">
        <f>Y42/3</f>
        <v>265.9630059804847</v>
      </c>
      <c r="Z56" s="42"/>
      <c r="AA56" s="47">
        <f>AA42/3</f>
        <v>265.9630059804847</v>
      </c>
      <c r="AB56" s="42"/>
      <c r="AC56" s="42"/>
      <c r="AD56" s="42"/>
      <c r="AE56" s="42"/>
      <c r="AF56" s="42"/>
      <c r="AG56" s="42"/>
      <c r="AH56" s="42"/>
      <c r="AI56" s="42"/>
      <c r="AJ56" s="42"/>
      <c r="AK56" s="43"/>
    </row>
    <row r="57" spans="2:37" x14ac:dyDescent="0.25">
      <c r="B57" s="49" t="s">
        <v>850</v>
      </c>
      <c r="C57" s="47">
        <f>IF(C9&lt;=2,0,HLOOKUP(C9-'Premissas Adotadas'!$D$45,'Cronograma de Implantação'!$C$9:$AK$42,34,FALSE))-C56</f>
        <v>0</v>
      </c>
      <c r="D57" s="47">
        <f>IF(D9&lt;=2,0,HLOOKUP(D9-'Premissas Adotadas'!$D$45,'Cronograma de Implantação'!$C$9:$AK$42,34,FALSE))-D56</f>
        <v>0</v>
      </c>
      <c r="E57" s="47">
        <f>IF(E9&lt;=2,0,HLOOKUP(E9-'Premissas Adotadas'!$D$45,'Cronograma de Implantação'!$C$9:$AK$42,34,FALSE))-E56</f>
        <v>0</v>
      </c>
      <c r="F57" s="47">
        <f>IF(F9&lt;=2,0,HLOOKUP(F9-'Premissas Adotadas'!$D$45,'Cronograma de Implantação'!$C$9:$AK$42,34,FALSE))-F56</f>
        <v>0</v>
      </c>
      <c r="G57" s="47">
        <f>IF(G9&lt;=2,0,HLOOKUP(G9-'Premissas Adotadas'!$D$45,'Cronograma de Implantação'!$C$9:$AK$42,34,FALSE))-G56</f>
        <v>65.872577903682711</v>
      </c>
      <c r="H57" s="47">
        <f>IF(H9&lt;=2,0,HLOOKUP(H9-'Premissas Adotadas'!$D$45,'Cronograma de Implantação'!$C$9:$AK$42,34,FALSE))-H56</f>
        <v>303.25123701605293</v>
      </c>
      <c r="I57" s="47">
        <f>IF(I9&lt;=2,0,HLOOKUP(I9-'Premissas Adotadas'!$D$45,'Cronograma de Implantação'!$C$9:$AK$42,34,FALSE))-I56</f>
        <v>481.70064400377714</v>
      </c>
      <c r="J57" s="47">
        <f>IF(J9&lt;=2,0,HLOOKUP(J9-'Premissas Adotadas'!$D$45,'Cronograma de Implantação'!$C$9:$AK$42,34,FALSE))-J56</f>
        <v>722.81801699716709</v>
      </c>
      <c r="K57" s="47">
        <f>IF(K9&lt;=2,0,HLOOKUP(K9-'Premissas Adotadas'!$D$45,'Cronograma de Implantação'!$C$9:$AK$42,34,FALSE))-K56</f>
        <v>797.88901794145409</v>
      </c>
      <c r="L57" s="47">
        <f>IF(L9&lt;=2,0,HLOOKUP(L9-'Premissas Adotadas'!$D$45,'Cronograma de Implantação'!$C$9:$AK$42,34,FALSE))-L56</f>
        <v>797.88901794145409</v>
      </c>
      <c r="M57" s="47">
        <f>IF(M9&lt;=2,0,HLOOKUP(M9-'Premissas Adotadas'!$D$45,'Cronograma de Implantação'!$C$9:$AK$42,34,FALSE))-M56</f>
        <v>797.88901794145409</v>
      </c>
      <c r="N57" s="47">
        <f>IF(N9&lt;=2,0,HLOOKUP(N9-'Premissas Adotadas'!$D$45,'Cronograma de Implantação'!$C$9:$AK$42,34,FALSE))-N56</f>
        <v>797.88901794145409</v>
      </c>
      <c r="O57" s="47">
        <f>IF(O9&lt;=2,0,HLOOKUP(O9-'Premissas Adotadas'!$D$45,'Cronograma de Implantação'!$C$9:$AK$42,34,FALSE))-O56</f>
        <v>797.88901794145409</v>
      </c>
      <c r="P57" s="47">
        <f>IF(P9&lt;=2,0,HLOOKUP(P9-'Premissas Adotadas'!$D$45,'Cronograma de Implantação'!$C$9:$AK$42,34,FALSE))-P56</f>
        <v>797.88901794145409</v>
      </c>
      <c r="Q57" s="47">
        <f>IF(Q9&lt;=2,0,HLOOKUP(Q9-'Premissas Adotadas'!$D$45,'Cronograma de Implantação'!$C$9:$AK$42,34,FALSE))-Q56</f>
        <v>797.88901794145409</v>
      </c>
      <c r="R57" s="47">
        <f>IF(R9&lt;=2,0,HLOOKUP(R9-'Premissas Adotadas'!$D$45,'Cronograma de Implantação'!$C$9:$AK$42,34,FALSE))-R56</f>
        <v>797.88901794145409</v>
      </c>
      <c r="S57" s="47">
        <f>IF(S9&lt;=2,0,HLOOKUP(S9-'Premissas Adotadas'!$D$45,'Cronograma de Implantação'!$C$9:$AK$42,34,FALSE))-S56</f>
        <v>797.88901794145409</v>
      </c>
      <c r="T57" s="47">
        <f>IF(T9&lt;=2,0,HLOOKUP(T9-'Premissas Adotadas'!$D$45,'Cronograma de Implantação'!$C$9:$AK$42,34,FALSE))-T56</f>
        <v>797.88901794145409</v>
      </c>
      <c r="U57" s="47">
        <f>IF(U9&lt;=2,0,HLOOKUP(U9-'Premissas Adotadas'!$D$45,'Cronograma de Implantação'!$C$9:$AK$42,34,FALSE))-U56</f>
        <v>531.92601196096939</v>
      </c>
      <c r="V57" s="47">
        <f>IF(V9&lt;=2,0,HLOOKUP(V9-'Premissas Adotadas'!$D$45,'Cronograma de Implantação'!$C$9:$AK$42,34,FALSE))-V56</f>
        <v>797.88901794145409</v>
      </c>
      <c r="W57" s="47">
        <f>IF(W9&lt;=2,0,HLOOKUP(W9-'Premissas Adotadas'!$D$45,'Cronograma de Implantação'!$C$9:$AK$42,34,FALSE))-W56</f>
        <v>797.88901794145409</v>
      </c>
      <c r="X57" s="47">
        <f>IF(X9&lt;=2,0,HLOOKUP(X9-'Premissas Adotadas'!$D$45,'Cronograma de Implantação'!$C$9:$AK$42,34,FALSE))-X56</f>
        <v>797.88901794145409</v>
      </c>
      <c r="Y57" s="47">
        <f>IF(Y9&lt;=2,0,HLOOKUP(Y9-'Premissas Adotadas'!$D$45,'Cronograma de Implantação'!$C$9:$AK$42,34,FALSE))-Y56</f>
        <v>531.92601196096939</v>
      </c>
      <c r="Z57" s="47">
        <f>IF(Z9&lt;=2,0,HLOOKUP(Z9-'Premissas Adotadas'!$D$45,'Cronograma de Implantação'!$C$9:$AK$42,34,FALSE))-Z56</f>
        <v>797.88901794145409</v>
      </c>
      <c r="AA57" s="47">
        <f>IF(AA9&lt;=2,0,HLOOKUP(AA9-'Premissas Adotadas'!$D$45,'Cronograma de Implantação'!$C$9:$AK$42,34,FALSE))-AA56</f>
        <v>531.92601196096939</v>
      </c>
      <c r="AB57" s="47">
        <f>IF(AB9&lt;=2,0,HLOOKUP(AB9-'Premissas Adotadas'!$D$45,'Cronograma de Implantação'!$C$9:$AK$42,34,FALSE))-AB56</f>
        <v>797.88901794145409</v>
      </c>
      <c r="AC57" s="47">
        <f>IF(AC9&lt;=2,0,HLOOKUP(AC9-'Premissas Adotadas'!$D$45,'Cronograma de Implantação'!$C$9:$AK$42,34,FALSE))-AC56</f>
        <v>797.88901794145409</v>
      </c>
      <c r="AD57" s="47">
        <f>IF(AD9&lt;=2,0,HLOOKUP(AD9-'Premissas Adotadas'!$D$45,'Cronograma de Implantação'!$C$9:$AK$42,34,FALSE))-AD56</f>
        <v>797.88901794145409</v>
      </c>
      <c r="AE57" s="47">
        <f>IF(AE9&lt;=2,0,HLOOKUP(AE9-'Premissas Adotadas'!$D$45,'Cronograma de Implantação'!$C$9:$AK$42,34,FALSE))-AE56</f>
        <v>797.88901794145409</v>
      </c>
      <c r="AF57" s="47">
        <f>IF(AF9&lt;=2,0,HLOOKUP(AF9-'Premissas Adotadas'!$D$45,'Cronograma de Implantação'!$C$9:$AK$42,34,FALSE))-AF56</f>
        <v>797.88901794145409</v>
      </c>
      <c r="AG57" s="47">
        <f>IF(AG9&lt;=2,0,HLOOKUP(AG9-'Premissas Adotadas'!$D$45,'Cronograma de Implantação'!$C$9:$AK$42,34,FALSE))-AG56</f>
        <v>797.88901794145409</v>
      </c>
      <c r="AH57" s="47">
        <f>IF(AH9&lt;=2,0,HLOOKUP(AH9-'Premissas Adotadas'!$D$45,'Cronograma de Implantação'!$C$9:$AK$42,34,FALSE))-AH56</f>
        <v>797.88901794145409</v>
      </c>
      <c r="AI57" s="47">
        <f>IF(AI9&lt;=2,0,HLOOKUP(AI9-'Premissas Adotadas'!$D$45,'Cronograma de Implantação'!$C$9:$AK$42,34,FALSE))-AI56</f>
        <v>797.88901794145409</v>
      </c>
      <c r="AJ57" s="47">
        <f>IF(AJ9&lt;=2,0,HLOOKUP(AJ9-'Premissas Adotadas'!$D$45,'Cronograma de Implantação'!$C$9:$AK$42,34,FALSE))-AJ56</f>
        <v>797.88901794145409</v>
      </c>
      <c r="AK57" s="48">
        <f>IF(AK9&lt;=2,0,HLOOKUP(AK9-'Premissas Adotadas'!$D$45,'Cronograma de Implantação'!$C$9:$AK$42,34,FALSE))-AK56</f>
        <v>797.88901794145409</v>
      </c>
    </row>
    <row r="58" spans="2:37" x14ac:dyDescent="0.25">
      <c r="B58" s="502" t="s">
        <v>851</v>
      </c>
      <c r="C58" s="595">
        <f>'Premissas Adotadas'!$F$39</f>
        <v>23.529411764705884</v>
      </c>
      <c r="D58" s="595">
        <f>'Premissas Adotadas'!$F$39</f>
        <v>23.529411764705884</v>
      </c>
      <c r="E58" s="595">
        <f>'Premissas Adotadas'!$F$39</f>
        <v>23.529411764705884</v>
      </c>
      <c r="F58" s="595">
        <f>'Premissas Adotadas'!$F$39</f>
        <v>23.529411764705884</v>
      </c>
      <c r="G58" s="595">
        <f>'Premissas Adotadas'!$F$39</f>
        <v>23.529411764705884</v>
      </c>
      <c r="H58" s="595">
        <f>'Premissas Adotadas'!$F$39</f>
        <v>23.529411764705884</v>
      </c>
      <c r="I58" s="595">
        <f>'Premissas Adotadas'!$F$39</f>
        <v>23.529411764705884</v>
      </c>
      <c r="J58" s="595">
        <f>'Premissas Adotadas'!$F$39</f>
        <v>23.529411764705884</v>
      </c>
      <c r="K58" s="595">
        <f>'Premissas Adotadas'!$F$39</f>
        <v>23.529411764705884</v>
      </c>
      <c r="L58" s="595">
        <f>'Premissas Adotadas'!$F$39</f>
        <v>23.529411764705884</v>
      </c>
      <c r="M58" s="595">
        <f>'Premissas Adotadas'!$F$39</f>
        <v>23.529411764705884</v>
      </c>
      <c r="N58" s="595">
        <f>'Premissas Adotadas'!$F$39</f>
        <v>23.529411764705884</v>
      </c>
      <c r="O58" s="595">
        <f>'Premissas Adotadas'!$F$39</f>
        <v>23.529411764705884</v>
      </c>
      <c r="P58" s="595">
        <f>'Premissas Adotadas'!$F$39</f>
        <v>23.529411764705884</v>
      </c>
      <c r="Q58" s="595">
        <f>'Premissas Adotadas'!$F$39</f>
        <v>23.529411764705884</v>
      </c>
      <c r="R58" s="595">
        <f>'Premissas Adotadas'!$F$39</f>
        <v>23.529411764705884</v>
      </c>
      <c r="S58" s="595">
        <f>'Premissas Adotadas'!$F$39</f>
        <v>23.529411764705884</v>
      </c>
      <c r="T58" s="595">
        <f>'Premissas Adotadas'!$F$39</f>
        <v>23.529411764705884</v>
      </c>
      <c r="U58" s="595">
        <f>'Premissas Adotadas'!$F$39</f>
        <v>23.529411764705884</v>
      </c>
      <c r="V58" s="595">
        <f>'Premissas Adotadas'!$F$39</f>
        <v>23.529411764705884</v>
      </c>
      <c r="W58" s="595">
        <f>'Premissas Adotadas'!$F$39</f>
        <v>23.529411764705884</v>
      </c>
      <c r="X58" s="595">
        <f>'Premissas Adotadas'!$F$39</f>
        <v>23.529411764705884</v>
      </c>
      <c r="Y58" s="595">
        <f>'Premissas Adotadas'!$F$39</f>
        <v>23.529411764705884</v>
      </c>
      <c r="Z58" s="595">
        <f>'Premissas Adotadas'!$F$39</f>
        <v>23.529411764705884</v>
      </c>
      <c r="AA58" s="595">
        <f>'Premissas Adotadas'!$F$39</f>
        <v>23.529411764705884</v>
      </c>
      <c r="AB58" s="595">
        <f>'Premissas Adotadas'!$F$39</f>
        <v>23.529411764705884</v>
      </c>
      <c r="AC58" s="595">
        <f>'Premissas Adotadas'!$F$39</f>
        <v>23.529411764705884</v>
      </c>
      <c r="AD58" s="595">
        <f>'Premissas Adotadas'!$F$39</f>
        <v>23.529411764705884</v>
      </c>
      <c r="AE58" s="595">
        <f>'Premissas Adotadas'!$F$39</f>
        <v>23.529411764705884</v>
      </c>
      <c r="AF58" s="595">
        <f>'Premissas Adotadas'!$F$39</f>
        <v>23.529411764705884</v>
      </c>
      <c r="AG58" s="595">
        <f>'Premissas Adotadas'!$F$39</f>
        <v>23.529411764705884</v>
      </c>
      <c r="AH58" s="595">
        <f>'Premissas Adotadas'!$F$39</f>
        <v>23.529411764705884</v>
      </c>
      <c r="AI58" s="595">
        <f>'Premissas Adotadas'!$F$39</f>
        <v>23.529411764705884</v>
      </c>
      <c r="AJ58" s="595">
        <f>'Premissas Adotadas'!$F$39</f>
        <v>23.529411764705884</v>
      </c>
      <c r="AK58" s="596">
        <f>'Premissas Adotadas'!$F$39</f>
        <v>23.529411764705884</v>
      </c>
    </row>
    <row r="59" spans="2:37" x14ac:dyDescent="0.25">
      <c r="B59" s="502" t="s">
        <v>848</v>
      </c>
      <c r="C59" s="504">
        <v>1</v>
      </c>
      <c r="D59" s="504">
        <v>1</v>
      </c>
      <c r="E59" s="504">
        <v>1</v>
      </c>
      <c r="F59" s="504">
        <v>1</v>
      </c>
      <c r="G59" s="504">
        <v>1</v>
      </c>
      <c r="H59" s="504">
        <v>1</v>
      </c>
      <c r="I59" s="504">
        <v>1</v>
      </c>
      <c r="J59" s="504">
        <v>1</v>
      </c>
      <c r="K59" s="504">
        <v>1</v>
      </c>
      <c r="L59" s="504">
        <v>1</v>
      </c>
      <c r="M59" s="504">
        <v>1</v>
      </c>
      <c r="N59" s="504">
        <v>1</v>
      </c>
      <c r="O59" s="504">
        <v>1</v>
      </c>
      <c r="P59" s="504">
        <v>1</v>
      </c>
      <c r="Q59" s="504">
        <v>1</v>
      </c>
      <c r="R59" s="504">
        <v>1</v>
      </c>
      <c r="S59" s="504">
        <v>1</v>
      </c>
      <c r="T59" s="504">
        <v>1</v>
      </c>
      <c r="U59" s="504">
        <v>1</v>
      </c>
      <c r="V59" s="504">
        <v>1</v>
      </c>
      <c r="W59" s="504">
        <v>1</v>
      </c>
      <c r="X59" s="504">
        <v>1</v>
      </c>
      <c r="Y59" s="504">
        <v>1</v>
      </c>
      <c r="Z59" s="504">
        <v>1</v>
      </c>
      <c r="AA59" s="504">
        <v>1</v>
      </c>
      <c r="AB59" s="504">
        <v>1</v>
      </c>
      <c r="AC59" s="504">
        <v>1</v>
      </c>
      <c r="AD59" s="504">
        <v>1</v>
      </c>
      <c r="AE59" s="504">
        <v>1</v>
      </c>
      <c r="AF59" s="504">
        <v>1</v>
      </c>
      <c r="AG59" s="504">
        <v>1</v>
      </c>
      <c r="AH59" s="504">
        <v>1</v>
      </c>
      <c r="AI59" s="504">
        <v>1</v>
      </c>
      <c r="AJ59" s="504">
        <v>1</v>
      </c>
      <c r="AK59" s="570">
        <v>1</v>
      </c>
    </row>
    <row r="60" spans="2:37" x14ac:dyDescent="0.25">
      <c r="B60" s="44" t="s">
        <v>852</v>
      </c>
      <c r="C60" s="501">
        <f>C57*C58*C59</f>
        <v>0</v>
      </c>
      <c r="D60" s="501">
        <f t="shared" ref="D60" si="228">D57*D58*D59</f>
        <v>0</v>
      </c>
      <c r="E60" s="501">
        <f t="shared" ref="E60" si="229">E57*E58*E59</f>
        <v>0</v>
      </c>
      <c r="F60" s="501">
        <f t="shared" ref="F60" si="230">F57*F58*F59</f>
        <v>0</v>
      </c>
      <c r="G60" s="501">
        <f t="shared" ref="G60" si="231">G57*G58*G59</f>
        <v>1549.9430094984168</v>
      </c>
      <c r="H60" s="501">
        <f t="shared" ref="H60" si="232">H57*H58*H59</f>
        <v>7135.3232239071285</v>
      </c>
      <c r="I60" s="501">
        <f t="shared" ref="I60" si="233">I57*I58*I59</f>
        <v>11334.132800088875</v>
      </c>
      <c r="J60" s="501">
        <f t="shared" ref="J60" si="234">J57*J58*J59</f>
        <v>17007.482752874523</v>
      </c>
      <c r="K60" s="501">
        <f t="shared" ref="K60" si="235">K57*K58*K59</f>
        <v>18773.859245681273</v>
      </c>
      <c r="L60" s="501">
        <f t="shared" ref="L60" si="236">L57*L58*L59</f>
        <v>18773.859245681273</v>
      </c>
      <c r="M60" s="501">
        <f t="shared" ref="M60" si="237">M57*M58*M59</f>
        <v>18773.859245681273</v>
      </c>
      <c r="N60" s="501">
        <f t="shared" ref="N60" si="238">N57*N58*N59</f>
        <v>18773.859245681273</v>
      </c>
      <c r="O60" s="501">
        <f t="shared" ref="O60" si="239">O57*O58*O59</f>
        <v>18773.859245681273</v>
      </c>
      <c r="P60" s="501">
        <f t="shared" ref="P60" si="240">P57*P58*P59</f>
        <v>18773.859245681273</v>
      </c>
      <c r="Q60" s="501">
        <f t="shared" ref="Q60" si="241">Q57*Q58*Q59</f>
        <v>18773.859245681273</v>
      </c>
      <c r="R60" s="501">
        <f t="shared" ref="R60" si="242">R57*R58*R59</f>
        <v>18773.859245681273</v>
      </c>
      <c r="S60" s="501">
        <f t="shared" ref="S60" si="243">S57*S58*S59</f>
        <v>18773.859245681273</v>
      </c>
      <c r="T60" s="501">
        <f t="shared" ref="T60" si="244">T57*T58*T59</f>
        <v>18773.859245681273</v>
      </c>
      <c r="U60" s="501">
        <f t="shared" ref="U60" si="245">U57*U58*U59</f>
        <v>12515.906163787517</v>
      </c>
      <c r="V60" s="501">
        <f t="shared" ref="V60" si="246">V57*V58*V59</f>
        <v>18773.859245681273</v>
      </c>
      <c r="W60" s="501">
        <f t="shared" ref="W60" si="247">W57*W58*W59</f>
        <v>18773.859245681273</v>
      </c>
      <c r="X60" s="501">
        <f t="shared" ref="X60" si="248">X57*X58*X59</f>
        <v>18773.859245681273</v>
      </c>
      <c r="Y60" s="501">
        <f t="shared" ref="Y60" si="249">Y57*Y58*Y59</f>
        <v>12515.906163787517</v>
      </c>
      <c r="Z60" s="501">
        <f t="shared" ref="Z60" si="250">Z57*Z58*Z59</f>
        <v>18773.859245681273</v>
      </c>
      <c r="AA60" s="501">
        <f t="shared" ref="AA60" si="251">AA57*AA58*AA59</f>
        <v>12515.906163787517</v>
      </c>
      <c r="AB60" s="501">
        <f t="shared" ref="AB60" si="252">AB57*AB58*AB59</f>
        <v>18773.859245681273</v>
      </c>
      <c r="AC60" s="501">
        <f t="shared" ref="AC60" si="253">AC57*AC58*AC59</f>
        <v>18773.859245681273</v>
      </c>
      <c r="AD60" s="501">
        <f t="shared" ref="AD60" si="254">AD57*AD58*AD59</f>
        <v>18773.859245681273</v>
      </c>
      <c r="AE60" s="501">
        <f t="shared" ref="AE60" si="255">AE57*AE58*AE59</f>
        <v>18773.859245681273</v>
      </c>
      <c r="AF60" s="501">
        <f t="shared" ref="AF60" si="256">AF57*AF58*AF59</f>
        <v>18773.859245681273</v>
      </c>
      <c r="AG60" s="501">
        <f t="shared" ref="AG60" si="257">AG57*AG58*AG59</f>
        <v>18773.859245681273</v>
      </c>
      <c r="AH60" s="501">
        <f t="shared" ref="AH60" si="258">AH57*AH58*AH59</f>
        <v>18773.859245681273</v>
      </c>
      <c r="AI60" s="501">
        <f t="shared" ref="AI60" si="259">AI57*AI58*AI59</f>
        <v>18773.859245681273</v>
      </c>
      <c r="AJ60" s="501">
        <f t="shared" ref="AJ60" si="260">AJ57*AJ58*AJ59</f>
        <v>18773.859245681273</v>
      </c>
      <c r="AK60" s="571">
        <f t="shared" ref="AK60" si="261">AK57*AK58*AK59</f>
        <v>18773.859245681273</v>
      </c>
    </row>
    <row r="61" spans="2:37" x14ac:dyDescent="0.25">
      <c r="B61" s="230" t="s">
        <v>214</v>
      </c>
      <c r="C61" s="228"/>
      <c r="D61" s="228"/>
      <c r="E61" s="228"/>
      <c r="F61" s="228"/>
      <c r="G61" s="228"/>
      <c r="H61" s="228"/>
      <c r="I61" s="228"/>
      <c r="J61" s="228"/>
      <c r="K61" s="228"/>
      <c r="L61" s="228"/>
      <c r="M61" s="228"/>
      <c r="N61" s="228"/>
      <c r="O61" s="228"/>
      <c r="P61" s="228"/>
      <c r="Q61" s="228"/>
      <c r="R61" s="228"/>
      <c r="S61" s="228"/>
      <c r="T61" s="228"/>
      <c r="U61" s="228"/>
      <c r="V61" s="228"/>
      <c r="W61" s="228"/>
      <c r="X61" s="228"/>
      <c r="Y61" s="228"/>
      <c r="Z61" s="228"/>
      <c r="AA61" s="228"/>
      <c r="AB61" s="228"/>
      <c r="AC61" s="228"/>
      <c r="AD61" s="228"/>
      <c r="AE61" s="228"/>
      <c r="AF61" s="228"/>
      <c r="AG61" s="228"/>
      <c r="AH61" s="228"/>
      <c r="AI61" s="228"/>
      <c r="AJ61" s="228"/>
      <c r="AK61" s="229"/>
    </row>
    <row r="62" spans="2:37" x14ac:dyDescent="0.25">
      <c r="B62" s="40" t="s">
        <v>849</v>
      </c>
      <c r="C62" s="41"/>
      <c r="D62" s="42"/>
      <c r="E62" s="41"/>
      <c r="F62" s="42"/>
      <c r="G62" s="42"/>
      <c r="H62" s="42"/>
      <c r="I62" s="42"/>
      <c r="J62" s="47">
        <f>J46/3</f>
        <v>265.9630059804847</v>
      </c>
      <c r="K62" s="47">
        <f>K46/3</f>
        <v>265.9630059804847</v>
      </c>
      <c r="L62" s="47">
        <f>L46/3</f>
        <v>265.9630059804847</v>
      </c>
      <c r="M62" s="42"/>
      <c r="N62" s="42"/>
      <c r="O62" s="42"/>
      <c r="P62" s="42"/>
      <c r="Q62" s="42"/>
      <c r="R62" s="42"/>
      <c r="S62" s="42"/>
      <c r="T62" s="47">
        <f t="shared" ref="T62:V62" si="262">T46/3</f>
        <v>265.9630059804847</v>
      </c>
      <c r="U62" s="47">
        <f t="shared" si="262"/>
        <v>265.9630059804847</v>
      </c>
      <c r="V62" s="47">
        <f t="shared" si="262"/>
        <v>265.9630059804847</v>
      </c>
      <c r="W62" s="47"/>
      <c r="X62" s="47"/>
      <c r="Y62" s="47"/>
      <c r="Z62" s="47"/>
      <c r="AA62" s="47"/>
      <c r="AB62" s="47"/>
      <c r="AC62" s="42"/>
      <c r="AD62" s="47">
        <f t="shared" ref="AD62:AF62" si="263">AD46/3</f>
        <v>265.9630059804847</v>
      </c>
      <c r="AE62" s="47">
        <f t="shared" si="263"/>
        <v>265.9630059804847</v>
      </c>
      <c r="AF62" s="47">
        <f t="shared" si="263"/>
        <v>265.9630059804847</v>
      </c>
      <c r="AG62" s="42"/>
      <c r="AH62" s="42"/>
      <c r="AI62" s="42"/>
      <c r="AJ62" s="42"/>
      <c r="AK62" s="43"/>
    </row>
    <row r="63" spans="2:37" x14ac:dyDescent="0.25">
      <c r="B63" s="49" t="s">
        <v>850</v>
      </c>
      <c r="C63" s="47">
        <f>C46-C62</f>
        <v>0</v>
      </c>
      <c r="D63" s="47">
        <f>D46-D62</f>
        <v>0</v>
      </c>
      <c r="E63" s="47">
        <f>E46-E62</f>
        <v>65.872577903682711</v>
      </c>
      <c r="F63" s="47">
        <f t="shared" ref="F63:AK63" si="264">F46-F62</f>
        <v>303.25123701605293</v>
      </c>
      <c r="G63" s="47">
        <f t="shared" si="264"/>
        <v>481.70064400377714</v>
      </c>
      <c r="H63" s="47">
        <f t="shared" si="264"/>
        <v>722.81801699716709</v>
      </c>
      <c r="I63" s="47">
        <f t="shared" si="264"/>
        <v>797.88901794145409</v>
      </c>
      <c r="J63" s="47">
        <f t="shared" si="264"/>
        <v>531.92601196096939</v>
      </c>
      <c r="K63" s="47">
        <f t="shared" si="264"/>
        <v>531.92601196096939</v>
      </c>
      <c r="L63" s="47">
        <f t="shared" si="264"/>
        <v>531.92601196096939</v>
      </c>
      <c r="M63" s="47">
        <f t="shared" si="264"/>
        <v>797.88901794145409</v>
      </c>
      <c r="N63" s="47">
        <f t="shared" si="264"/>
        <v>797.88901794145409</v>
      </c>
      <c r="O63" s="47">
        <f t="shared" si="264"/>
        <v>797.88901794145409</v>
      </c>
      <c r="P63" s="47">
        <f t="shared" si="264"/>
        <v>797.88901794145409</v>
      </c>
      <c r="Q63" s="47">
        <f t="shared" si="264"/>
        <v>797.88901794145409</v>
      </c>
      <c r="R63" s="47">
        <f t="shared" si="264"/>
        <v>797.88901794145409</v>
      </c>
      <c r="S63" s="47">
        <f t="shared" si="264"/>
        <v>797.88901794145409</v>
      </c>
      <c r="T63" s="47">
        <f t="shared" si="264"/>
        <v>531.92601196096939</v>
      </c>
      <c r="U63" s="47">
        <f t="shared" si="264"/>
        <v>531.92601196096939</v>
      </c>
      <c r="V63" s="47">
        <f t="shared" si="264"/>
        <v>531.92601196096939</v>
      </c>
      <c r="W63" s="47">
        <f t="shared" si="264"/>
        <v>797.88901794145409</v>
      </c>
      <c r="X63" s="47">
        <f t="shared" si="264"/>
        <v>797.88901794145409</v>
      </c>
      <c r="Y63" s="47">
        <f t="shared" si="264"/>
        <v>797.88901794145409</v>
      </c>
      <c r="Z63" s="47">
        <f t="shared" si="264"/>
        <v>797.88901794145409</v>
      </c>
      <c r="AA63" s="47">
        <f t="shared" si="264"/>
        <v>797.88901794145409</v>
      </c>
      <c r="AB63" s="47">
        <f t="shared" si="264"/>
        <v>797.88901794145409</v>
      </c>
      <c r="AC63" s="47">
        <f t="shared" si="264"/>
        <v>797.88901794145409</v>
      </c>
      <c r="AD63" s="47">
        <f t="shared" si="264"/>
        <v>531.92601196096939</v>
      </c>
      <c r="AE63" s="47">
        <f t="shared" si="264"/>
        <v>531.92601196096939</v>
      </c>
      <c r="AF63" s="47">
        <f t="shared" si="264"/>
        <v>531.92601196096939</v>
      </c>
      <c r="AG63" s="47">
        <f t="shared" si="264"/>
        <v>797.88901794145409</v>
      </c>
      <c r="AH63" s="47">
        <f t="shared" si="264"/>
        <v>797.88901794145409</v>
      </c>
      <c r="AI63" s="47">
        <f t="shared" si="264"/>
        <v>797.88901794145409</v>
      </c>
      <c r="AJ63" s="47">
        <f t="shared" si="264"/>
        <v>797.88901794145409</v>
      </c>
      <c r="AK63" s="48">
        <f t="shared" si="264"/>
        <v>797.88901794145409</v>
      </c>
    </row>
    <row r="64" spans="2:37" x14ac:dyDescent="0.25">
      <c r="B64" s="502" t="s">
        <v>851</v>
      </c>
      <c r="C64" s="503">
        <f>'Premissas Adotadas'!$F$40</f>
        <v>20.625</v>
      </c>
      <c r="D64" s="503">
        <f>'Premissas Adotadas'!$F$40</f>
        <v>20.625</v>
      </c>
      <c r="E64" s="503">
        <f>'Premissas Adotadas'!$F$40</f>
        <v>20.625</v>
      </c>
      <c r="F64" s="503">
        <f>'Premissas Adotadas'!$F$40</f>
        <v>20.625</v>
      </c>
      <c r="G64" s="503">
        <f>'Premissas Adotadas'!$F$40</f>
        <v>20.625</v>
      </c>
      <c r="H64" s="503">
        <f>'Premissas Adotadas'!$F$40</f>
        <v>20.625</v>
      </c>
      <c r="I64" s="503">
        <f>'Premissas Adotadas'!$F$40</f>
        <v>20.625</v>
      </c>
      <c r="J64" s="503">
        <f>'Premissas Adotadas'!$F$40</f>
        <v>20.625</v>
      </c>
      <c r="K64" s="503">
        <f>'Premissas Adotadas'!$F$40</f>
        <v>20.625</v>
      </c>
      <c r="L64" s="503">
        <f>'Premissas Adotadas'!$F$40</f>
        <v>20.625</v>
      </c>
      <c r="M64" s="503">
        <f>'Premissas Adotadas'!$F$40</f>
        <v>20.625</v>
      </c>
      <c r="N64" s="503">
        <f>'Premissas Adotadas'!$F$40</f>
        <v>20.625</v>
      </c>
      <c r="O64" s="503">
        <f>'Premissas Adotadas'!$F$40</f>
        <v>20.625</v>
      </c>
      <c r="P64" s="503">
        <f>'Premissas Adotadas'!$F$40</f>
        <v>20.625</v>
      </c>
      <c r="Q64" s="503">
        <f>'Premissas Adotadas'!$F$40</f>
        <v>20.625</v>
      </c>
      <c r="R64" s="503">
        <f>'Premissas Adotadas'!$F$40</f>
        <v>20.625</v>
      </c>
      <c r="S64" s="503">
        <f>'Premissas Adotadas'!$F$40</f>
        <v>20.625</v>
      </c>
      <c r="T64" s="503">
        <f>'Premissas Adotadas'!$F$40</f>
        <v>20.625</v>
      </c>
      <c r="U64" s="503">
        <f>'Premissas Adotadas'!$F$40</f>
        <v>20.625</v>
      </c>
      <c r="V64" s="503">
        <f>'Premissas Adotadas'!$F$40</f>
        <v>20.625</v>
      </c>
      <c r="W64" s="503">
        <f>'Premissas Adotadas'!$F$40</f>
        <v>20.625</v>
      </c>
      <c r="X64" s="503">
        <f>'Premissas Adotadas'!$F$40</f>
        <v>20.625</v>
      </c>
      <c r="Y64" s="503">
        <f>'Premissas Adotadas'!$F$40</f>
        <v>20.625</v>
      </c>
      <c r="Z64" s="503">
        <f>'Premissas Adotadas'!$F$40</f>
        <v>20.625</v>
      </c>
      <c r="AA64" s="503">
        <f>'Premissas Adotadas'!$F$40</f>
        <v>20.625</v>
      </c>
      <c r="AB64" s="503">
        <f>'Premissas Adotadas'!$F$40</f>
        <v>20.625</v>
      </c>
      <c r="AC64" s="503">
        <f>'Premissas Adotadas'!$F$40</f>
        <v>20.625</v>
      </c>
      <c r="AD64" s="503">
        <f>'Premissas Adotadas'!$F$40</f>
        <v>20.625</v>
      </c>
      <c r="AE64" s="503">
        <f>'Premissas Adotadas'!$F$40</f>
        <v>20.625</v>
      </c>
      <c r="AF64" s="503">
        <f>'Premissas Adotadas'!$F$40</f>
        <v>20.625</v>
      </c>
      <c r="AG64" s="503">
        <f>'Premissas Adotadas'!$F$40</f>
        <v>20.625</v>
      </c>
      <c r="AH64" s="503">
        <f>'Premissas Adotadas'!$F$40</f>
        <v>20.625</v>
      </c>
      <c r="AI64" s="503">
        <f>'Premissas Adotadas'!$F$40</f>
        <v>20.625</v>
      </c>
      <c r="AJ64" s="503">
        <f>'Premissas Adotadas'!$F$40</f>
        <v>20.625</v>
      </c>
      <c r="AK64" s="569">
        <f>'Premissas Adotadas'!$F$40</f>
        <v>20.625</v>
      </c>
    </row>
    <row r="65" spans="2:37" x14ac:dyDescent="0.25">
      <c r="B65" s="502" t="s">
        <v>848</v>
      </c>
      <c r="C65" s="504">
        <v>2</v>
      </c>
      <c r="D65" s="504">
        <v>2</v>
      </c>
      <c r="E65" s="504">
        <v>2</v>
      </c>
      <c r="F65" s="504">
        <v>2</v>
      </c>
      <c r="G65" s="504">
        <v>2</v>
      </c>
      <c r="H65" s="504">
        <v>2</v>
      </c>
      <c r="I65" s="504">
        <v>2</v>
      </c>
      <c r="J65" s="504">
        <v>2</v>
      </c>
      <c r="K65" s="504">
        <v>2</v>
      </c>
      <c r="L65" s="504">
        <v>2</v>
      </c>
      <c r="M65" s="504">
        <v>2</v>
      </c>
      <c r="N65" s="504">
        <v>2</v>
      </c>
      <c r="O65" s="504">
        <v>2</v>
      </c>
      <c r="P65" s="504">
        <v>2</v>
      </c>
      <c r="Q65" s="504">
        <v>2</v>
      </c>
      <c r="R65" s="504">
        <v>2</v>
      </c>
      <c r="S65" s="504">
        <v>2</v>
      </c>
      <c r="T65" s="504">
        <v>2</v>
      </c>
      <c r="U65" s="504">
        <v>2</v>
      </c>
      <c r="V65" s="504">
        <v>2</v>
      </c>
      <c r="W65" s="504">
        <v>2</v>
      </c>
      <c r="X65" s="504">
        <v>2</v>
      </c>
      <c r="Y65" s="504">
        <v>2</v>
      </c>
      <c r="Z65" s="504">
        <v>2</v>
      </c>
      <c r="AA65" s="504">
        <v>2</v>
      </c>
      <c r="AB65" s="504">
        <v>2</v>
      </c>
      <c r="AC65" s="504">
        <v>2</v>
      </c>
      <c r="AD65" s="504">
        <v>2</v>
      </c>
      <c r="AE65" s="504">
        <v>2</v>
      </c>
      <c r="AF65" s="504">
        <v>2</v>
      </c>
      <c r="AG65" s="504">
        <v>2</v>
      </c>
      <c r="AH65" s="504">
        <v>2</v>
      </c>
      <c r="AI65" s="504">
        <v>2</v>
      </c>
      <c r="AJ65" s="504">
        <v>2</v>
      </c>
      <c r="AK65" s="570">
        <v>2</v>
      </c>
    </row>
    <row r="66" spans="2:37" ht="15.75" thickBot="1" x14ac:dyDescent="0.3">
      <c r="B66" s="50" t="s">
        <v>852</v>
      </c>
      <c r="C66" s="572">
        <f>C63*C64*C65</f>
        <v>0</v>
      </c>
      <c r="D66" s="572">
        <f t="shared" ref="D66" si="265">D63*D64*D65</f>
        <v>0</v>
      </c>
      <c r="E66" s="572">
        <f>IF(E9&lt;=2,0,IF(E9&lt;=7,D63*E64*E65+(E63-D63)*'Premissas Adotadas'!$E$46*E65,E63*E64*E65))</f>
        <v>1976.1773371104814</v>
      </c>
      <c r="F66" s="572">
        <f>IF(F9&lt;=2,0,IF(F9&lt;=7,E63*F64*F65+(F63-E63)*'Premissas Adotadas'!$E$46*F65,F63*F64*F65))</f>
        <v>9838.6036118980173</v>
      </c>
      <c r="G66" s="572">
        <f>IF(G9&lt;=2,0,IF(G9&lt;=7,F63*G64*G65+(G63-F63)*'Premissas Adotadas'!$E$46*G65,G63*G64*G65))</f>
        <v>17862.59573654391</v>
      </c>
      <c r="H66" s="572">
        <f>IF(H9&lt;=2,0,IF(H9&lt;=7,G63*H64*H65+(H63-G63)*'Premissas Adotadas'!$E$46*H65,H63*H64*H65))</f>
        <v>27103.672754957508</v>
      </c>
      <c r="I66" s="572">
        <f>IF(I9&lt;=2,0,IF(I9&lt;=7,H63*I64*I65+(I63-H63)*'Premissas Adotadas'!$E$46*I65,I63*I64*I65))</f>
        <v>32068.373229461755</v>
      </c>
      <c r="J66" s="572">
        <f>IF(J9&lt;=2,0,IF(J9&lt;=7,I63*J64*J65+(J63-I63)*'Premissas Adotadas'!$E$46*J65,J63*J64*J65))</f>
        <v>21941.947993389986</v>
      </c>
      <c r="K66" s="572">
        <f>IF(K9&lt;=2,0,IF(K9&lt;=7,J63*K64*K65+(K63-J63)*'Premissas Adotadas'!$E$46*K65,K63*K64*K65))</f>
        <v>21941.947993389986</v>
      </c>
      <c r="L66" s="572">
        <f>IF(L9&lt;=2,0,IF(L9&lt;=7,K63*L64*L65+(L63-K63)*'Premissas Adotadas'!$E$46*L65,L63*L64*L65))</f>
        <v>21941.947993389986</v>
      </c>
      <c r="M66" s="572">
        <f>IF(M9&lt;=2,0,IF(M9&lt;=7,L63*M64*M65+(M63-L63)*'Premissas Adotadas'!$E$46*M65,M63*M64*M65))</f>
        <v>32912.921990084978</v>
      </c>
      <c r="N66" s="572">
        <f>IF(N9&lt;=2,0,IF(N9&lt;=7,M63*N64*N65+(N63-M63)*'Premissas Adotadas'!$E$46*N65,N63*N64*N65))</f>
        <v>32912.921990084978</v>
      </c>
      <c r="O66" s="572">
        <f>IF(O9&lt;=2,0,IF(O9&lt;=7,N63*O64*O65+(O63-N63)*'Premissas Adotadas'!$E$46*O65,O63*O64*O65))</f>
        <v>32912.921990084978</v>
      </c>
      <c r="P66" s="572">
        <f>IF(P9&lt;=2,0,IF(P9&lt;=7,O63*P64*P65+(P63-O63)*'Premissas Adotadas'!$E$46*P65,P63*P64*P65))</f>
        <v>32912.921990084978</v>
      </c>
      <c r="Q66" s="572">
        <f>IF(Q9&lt;=2,0,IF(Q9&lt;=7,P63*Q64*Q65+(Q63-P63)*'Premissas Adotadas'!$E$46*Q65,Q63*Q64*Q65))</f>
        <v>32912.921990084978</v>
      </c>
      <c r="R66" s="572">
        <f>IF(R9&lt;=2,0,IF(R9&lt;=7,Q63*R64*R65+(R63-Q63)*'Premissas Adotadas'!$E$46*R65,R63*R64*R65))</f>
        <v>32912.921990084978</v>
      </c>
      <c r="S66" s="572">
        <f>IF(S9&lt;=2,0,IF(S9&lt;=7,R63*S64*S65+(S63-R63)*'Premissas Adotadas'!$E$46*S65,S63*S64*S65))</f>
        <v>32912.921990084978</v>
      </c>
      <c r="T66" s="572">
        <f>IF(T9&lt;=2,0,IF(T9&lt;=7,S63*T64*T65+(T63-S63)*'Premissas Adotadas'!$E$46*T65,T63*T64*T65))</f>
        <v>21941.947993389986</v>
      </c>
      <c r="U66" s="572">
        <f>IF(U9&lt;=2,0,IF(U9&lt;=7,T63*U64*U65+(U63-T63)*'Premissas Adotadas'!$E$46*U65,U63*U64*U65))</f>
        <v>21941.947993389986</v>
      </c>
      <c r="V66" s="572">
        <f>IF(V9&lt;=2,0,IF(V9&lt;=7,U63*V64*V65+(V63-U63)*'Premissas Adotadas'!$E$46*V65,V63*V64*V65))</f>
        <v>21941.947993389986</v>
      </c>
      <c r="W66" s="572">
        <f>IF(W9&lt;=2,0,IF(W9&lt;=7,V63*W64*W65+(W63-V63)*'Premissas Adotadas'!$E$46*W65,W63*W64*W65))</f>
        <v>32912.921990084978</v>
      </c>
      <c r="X66" s="572">
        <f>IF(X9&lt;=2,0,IF(X9&lt;=7,W63*X64*X65+(X63-W63)*'Premissas Adotadas'!$E$46*X65,X63*X64*X65))</f>
        <v>32912.921990084978</v>
      </c>
      <c r="Y66" s="572">
        <f>IF(Y9&lt;=2,0,IF(Y9&lt;=7,X63*Y64*Y65+(Y63-X63)*'Premissas Adotadas'!$E$46*Y65,Y63*Y64*Y65))</f>
        <v>32912.921990084978</v>
      </c>
      <c r="Z66" s="572">
        <f>IF(Z9&lt;=2,0,IF(Z9&lt;=7,Y63*Z64*Z65+(Z63-Y63)*'Premissas Adotadas'!$E$46*Z65,Z63*Z64*Z65))</f>
        <v>32912.921990084978</v>
      </c>
      <c r="AA66" s="572">
        <f>IF(AA9&lt;=2,0,IF(AA9&lt;=7,Z63*AA64*AA65+(AA63-Z63)*'Premissas Adotadas'!$E$46*AA65,AA63*AA64*AA65))</f>
        <v>32912.921990084978</v>
      </c>
      <c r="AB66" s="572">
        <f>IF(AB9&lt;=2,0,IF(AB9&lt;=7,AA63*AB64*AB65+(AB63-AA63)*'Premissas Adotadas'!$E$46*AB65,AB63*AB64*AB65))</f>
        <v>32912.921990084978</v>
      </c>
      <c r="AC66" s="572">
        <f>IF(AC9&lt;=2,0,IF(AC9&lt;=7,AB63*AC64*AC65+(AC63-AB63)*'Premissas Adotadas'!$E$46*AC65,AC63*AC64*AC65))</f>
        <v>32912.921990084978</v>
      </c>
      <c r="AD66" s="572">
        <f>IF(AD9&lt;=2,0,IF(AD9&lt;=7,AC63*AD64*AD65+(AD63-AC63)*'Premissas Adotadas'!$E$46*AD65,AD63*AD64*AD65))</f>
        <v>21941.947993389986</v>
      </c>
      <c r="AE66" s="572">
        <f>IF(AE9&lt;=2,0,IF(AE9&lt;=7,AD63*AE64*AE65+(AE63-AD63)*'Premissas Adotadas'!$E$46*AE65,AE63*AE64*AE65))</f>
        <v>21941.947993389986</v>
      </c>
      <c r="AF66" s="572">
        <f>IF(AF9&lt;=2,0,IF(AF9&lt;=7,AE63*AF64*AF65+(AF63-AE63)*'Premissas Adotadas'!$E$46*AF65,AF63*AF64*AF65))</f>
        <v>21941.947993389986</v>
      </c>
      <c r="AG66" s="572">
        <f>IF(AG9&lt;=2,0,IF(AG9&lt;=7,AF63*AG64*AG65+(AG63-AF63)*'Premissas Adotadas'!$E$46*AG65,AG63*AG64*AG65))</f>
        <v>32912.921990084978</v>
      </c>
      <c r="AH66" s="572">
        <f>IF(AH9&lt;=2,0,IF(AH9&lt;=7,AG63*AH64*AH65+(AH63-AG63)*'Premissas Adotadas'!$E$46*AH65,AH63*AH64*AH65))</f>
        <v>32912.921990084978</v>
      </c>
      <c r="AI66" s="572">
        <f>IF(AI9&lt;=2,0,IF(AI9&lt;=7,AH63*AI64*AI65+(AI63-AH63)*'Premissas Adotadas'!$E$46*AI65,AI63*AI64*AI65))</f>
        <v>32912.921990084978</v>
      </c>
      <c r="AJ66" s="572">
        <f>IF(AJ9&lt;=2,0,IF(AJ9&lt;=7,AI63*AJ64*AJ65+(AJ63-AI63)*'Premissas Adotadas'!$E$46*AJ65,AJ63*AJ64*AJ65))</f>
        <v>32912.921990084978</v>
      </c>
      <c r="AK66" s="573">
        <f>IF(AK9&lt;=2,0,IF(AK9&lt;=7,AJ63*AK64*AK65+(AK63-AJ63)*'Premissas Adotadas'!$E$46*AK65,AK63*AK64*AK65))</f>
        <v>32912.921990084978</v>
      </c>
    </row>
    <row r="67" spans="2:37" x14ac:dyDescent="0.25">
      <c r="C67" s="590"/>
      <c r="D67" s="590"/>
      <c r="E67" s="590"/>
      <c r="F67" s="590"/>
      <c r="G67" s="590"/>
      <c r="H67" s="590"/>
      <c r="I67" s="590"/>
      <c r="J67" s="590"/>
      <c r="K67" s="590"/>
      <c r="L67" s="590"/>
      <c r="M67" s="590"/>
      <c r="N67" s="591"/>
      <c r="O67" s="591"/>
      <c r="P67" s="591"/>
      <c r="Q67" s="591"/>
      <c r="R67" s="591"/>
      <c r="S67" s="591"/>
      <c r="T67" s="591"/>
      <c r="U67" s="591"/>
      <c r="V67" s="591"/>
      <c r="W67" s="591"/>
      <c r="X67" s="591"/>
      <c r="Y67" s="591"/>
      <c r="Z67" s="591"/>
      <c r="AA67" s="591"/>
      <c r="AB67" s="591"/>
      <c r="AC67" s="591"/>
      <c r="AD67" s="591"/>
      <c r="AE67" s="591"/>
      <c r="AF67" s="591"/>
      <c r="AG67" s="591"/>
      <c r="AH67" s="591"/>
      <c r="AI67" s="591"/>
      <c r="AJ67" s="591"/>
      <c r="AK67" s="591"/>
    </row>
  </sheetData>
  <phoneticPr fontId="50" type="noConversion"/>
  <pageMargins left="0.25" right="0.25" top="0.75" bottom="0.75" header="0.3" footer="0.3"/>
  <pageSetup paperSize="9" scale="70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2:AE182"/>
  <sheetViews>
    <sheetView showGridLines="0" tabSelected="1" zoomScale="80" zoomScaleNormal="80" workbookViewId="0"/>
  </sheetViews>
  <sheetFormatPr defaultRowHeight="12.75" x14ac:dyDescent="0.25"/>
  <cols>
    <col min="1" max="1" width="1.42578125" style="154" customWidth="1"/>
    <col min="2" max="2" width="0.85546875" style="153" customWidth="1"/>
    <col min="3" max="3" width="24.85546875" style="154" customWidth="1"/>
    <col min="4" max="4" width="16" style="154" customWidth="1"/>
    <col min="5" max="5" width="15.28515625" style="156" customWidth="1"/>
    <col min="6" max="6" width="15.7109375" style="154" customWidth="1"/>
    <col min="7" max="7" width="15.7109375" style="156" customWidth="1"/>
    <col min="8" max="8" width="1.42578125" style="154" customWidth="1"/>
    <col min="9" max="9" width="29.42578125" style="154" bestFit="1" customWidth="1"/>
    <col min="10" max="10" width="14.42578125" style="154" customWidth="1"/>
    <col min="11" max="11" width="18.85546875" style="154" customWidth="1"/>
    <col min="12" max="12" width="14.85546875" style="154" bestFit="1" customWidth="1"/>
    <col min="13" max="13" width="1.42578125" style="154" customWidth="1"/>
    <col min="14" max="15" width="8.7109375" style="154" customWidth="1"/>
    <col min="16" max="17" width="11.140625" style="154" customWidth="1"/>
    <col min="18" max="18" width="1.7109375" style="154" customWidth="1"/>
    <col min="19" max="22" width="8.7109375" style="154" customWidth="1"/>
    <col min="23" max="23" width="1.28515625" style="154" customWidth="1"/>
    <col min="24" max="30" width="9.140625" style="154"/>
    <col min="31" max="31" width="8.140625" style="154" customWidth="1"/>
    <col min="32" max="16384" width="9.140625" style="154"/>
  </cols>
  <sheetData>
    <row r="2" spans="1:31" x14ac:dyDescent="0.25">
      <c r="J2" s="592"/>
      <c r="K2" s="155"/>
      <c r="L2" s="155"/>
    </row>
    <row r="3" spans="1:31" x14ac:dyDescent="0.25">
      <c r="A3" s="170"/>
      <c r="F3" s="170"/>
      <c r="G3" s="170"/>
      <c r="J3" s="586"/>
      <c r="K3" s="155"/>
      <c r="L3" s="612"/>
    </row>
    <row r="4" spans="1:31" x14ac:dyDescent="0.25">
      <c r="A4" s="170"/>
      <c r="F4" s="170"/>
      <c r="G4" s="170"/>
    </row>
    <row r="5" spans="1:31" s="471" customFormat="1" ht="21" x14ac:dyDescent="0.25">
      <c r="A5" s="158"/>
      <c r="B5" s="630" t="s">
        <v>152</v>
      </c>
      <c r="C5" s="630"/>
      <c r="D5" s="630"/>
      <c r="E5" s="630"/>
      <c r="F5" s="630"/>
      <c r="G5" s="630"/>
      <c r="M5" s="630" t="s">
        <v>203</v>
      </c>
      <c r="N5" s="630"/>
      <c r="O5" s="630"/>
      <c r="P5" s="630"/>
      <c r="Q5" s="630"/>
      <c r="R5" s="630"/>
    </row>
    <row r="6" spans="1:31" ht="4.5" customHeight="1" thickBot="1" x14ac:dyDescent="0.3"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</row>
    <row r="7" spans="1:31" ht="8.25" customHeight="1" thickTop="1" x14ac:dyDescent="0.25">
      <c r="B7" s="511"/>
      <c r="C7" s="155"/>
      <c r="D7" s="155"/>
      <c r="E7" s="512"/>
      <c r="F7" s="155"/>
      <c r="G7" s="512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</row>
    <row r="8" spans="1:31" s="155" customFormat="1" x14ac:dyDescent="0.25">
      <c r="B8" s="172"/>
      <c r="C8" s="646" t="s">
        <v>856</v>
      </c>
      <c r="D8" s="652" t="s">
        <v>191</v>
      </c>
      <c r="E8" s="652"/>
      <c r="F8" s="652" t="s">
        <v>192</v>
      </c>
      <c r="G8" s="650"/>
      <c r="I8" s="208" t="s">
        <v>864</v>
      </c>
      <c r="J8" s="559" t="s">
        <v>6</v>
      </c>
      <c r="K8" s="560">
        <v>1</v>
      </c>
      <c r="L8" s="561">
        <f>'Cronograma IUC'!C47*K8*1000</f>
        <v>331764552.96000034</v>
      </c>
      <c r="N8" s="635" t="s">
        <v>200</v>
      </c>
      <c r="O8" s="636"/>
      <c r="P8" s="636"/>
      <c r="Q8" s="637"/>
      <c r="S8" s="768"/>
      <c r="T8" s="768"/>
      <c r="U8" s="768"/>
      <c r="V8" s="768"/>
    </row>
    <row r="9" spans="1:31" x14ac:dyDescent="0.2">
      <c r="B9" s="172"/>
      <c r="C9" s="647"/>
      <c r="D9" s="537" t="s">
        <v>187</v>
      </c>
      <c r="E9" s="537" t="s">
        <v>186</v>
      </c>
      <c r="F9" s="537" t="s">
        <v>187</v>
      </c>
      <c r="G9" s="538" t="s">
        <v>186</v>
      </c>
      <c r="H9" s="155"/>
      <c r="I9" s="562" t="s">
        <v>863</v>
      </c>
      <c r="J9" s="565" t="s">
        <v>6</v>
      </c>
      <c r="K9" s="563"/>
      <c r="L9" s="564">
        <f>-'DemFin Proj'!C58</f>
        <v>364608618.8376013</v>
      </c>
      <c r="M9" s="155"/>
      <c r="N9" s="638" t="s">
        <v>132</v>
      </c>
      <c r="O9" s="639"/>
      <c r="P9" s="640">
        <f>'DemFin Proj'!C64</f>
        <v>-63908759.268636778</v>
      </c>
      <c r="Q9" s="641"/>
      <c r="R9" s="155"/>
      <c r="S9" s="643"/>
      <c r="T9" s="643"/>
      <c r="U9" s="644"/>
      <c r="V9" s="643"/>
      <c r="W9" s="155"/>
      <c r="X9" s="155"/>
      <c r="Y9" s="155"/>
      <c r="Z9" s="155"/>
      <c r="AA9" s="155"/>
      <c r="AB9" s="155"/>
      <c r="AC9" s="155"/>
      <c r="AD9" s="155"/>
      <c r="AE9" s="155"/>
    </row>
    <row r="10" spans="1:31" x14ac:dyDescent="0.2">
      <c r="A10" s="155"/>
      <c r="B10" s="172"/>
      <c r="C10" s="210" t="s">
        <v>190</v>
      </c>
      <c r="D10" s="200">
        <v>0.8</v>
      </c>
      <c r="E10" s="203">
        <f>D10*'Cronograma IUC'!$C$60</f>
        <v>10638.52023921939</v>
      </c>
      <c r="F10" s="200">
        <v>0.85</v>
      </c>
      <c r="G10" s="211">
        <f>F10*E10</f>
        <v>9042.7422033364801</v>
      </c>
      <c r="H10" s="155"/>
      <c r="I10" s="210" t="s">
        <v>862</v>
      </c>
      <c r="J10" s="514" t="s">
        <v>58</v>
      </c>
      <c r="K10" s="515"/>
      <c r="L10" s="215">
        <v>2079.2365387860632</v>
      </c>
      <c r="M10" s="155"/>
      <c r="N10" s="642" t="s">
        <v>133</v>
      </c>
      <c r="O10" s="643"/>
      <c r="P10" s="644">
        <f>'DemFin Proj'!C65</f>
        <v>63908839.827511601</v>
      </c>
      <c r="Q10" s="645"/>
      <c r="R10" s="155"/>
      <c r="S10" s="643"/>
      <c r="T10" s="643"/>
      <c r="U10" s="644"/>
      <c r="V10" s="643"/>
      <c r="W10" s="155"/>
      <c r="X10" s="155"/>
      <c r="Y10" s="155"/>
      <c r="Z10" s="155"/>
      <c r="AA10" s="155"/>
      <c r="AB10" s="155"/>
      <c r="AC10" s="155"/>
      <c r="AD10" s="155"/>
      <c r="AE10" s="155"/>
    </row>
    <row r="11" spans="1:31" x14ac:dyDescent="0.2">
      <c r="B11" s="172"/>
      <c r="C11" s="209" t="s">
        <v>204</v>
      </c>
      <c r="D11" s="197">
        <f>1-D10</f>
        <v>0.19999999999999996</v>
      </c>
      <c r="E11" s="256">
        <f>D11*'Cronograma IUC'!$C$60</f>
        <v>2659.6300598048465</v>
      </c>
      <c r="F11" s="197">
        <v>0.9</v>
      </c>
      <c r="G11" s="212">
        <f>F11*E11</f>
        <v>2393.667053824362</v>
      </c>
      <c r="H11" s="155"/>
      <c r="I11" s="210" t="s">
        <v>263</v>
      </c>
      <c r="J11" s="514" t="s">
        <v>84</v>
      </c>
      <c r="K11" s="515">
        <v>1</v>
      </c>
      <c r="L11" s="616">
        <f>L10*E12</f>
        <v>27650000.000000007</v>
      </c>
      <c r="M11" s="155"/>
      <c r="N11" s="642" t="s">
        <v>134</v>
      </c>
      <c r="O11" s="643"/>
      <c r="P11" s="644">
        <f>'DemFin Proj'!C66</f>
        <v>80.558874823153019</v>
      </c>
      <c r="Q11" s="645"/>
      <c r="R11" s="155"/>
      <c r="S11" s="643"/>
      <c r="T11" s="643"/>
      <c r="U11" s="644"/>
      <c r="V11" s="643"/>
      <c r="W11" s="155"/>
      <c r="X11" s="155"/>
      <c r="Y11" s="155"/>
      <c r="Z11" s="155"/>
      <c r="AA11" s="155"/>
      <c r="AB11" s="155"/>
      <c r="AC11" s="155"/>
      <c r="AD11" s="155"/>
      <c r="AE11" s="155"/>
    </row>
    <row r="12" spans="1:31" s="155" customFormat="1" x14ac:dyDescent="0.2">
      <c r="B12" s="172"/>
      <c r="C12" s="475" t="s">
        <v>59</v>
      </c>
      <c r="D12" s="476">
        <f>SUM(D10:D11)</f>
        <v>1</v>
      </c>
      <c r="E12" s="473">
        <f>SUM(E10:E11)</f>
        <v>13298.150299024237</v>
      </c>
      <c r="F12" s="477">
        <f>G12/E12</f>
        <v>0.85999999999999988</v>
      </c>
      <c r="G12" s="474">
        <f>SUM(G10:G11)</f>
        <v>11436.409257160842</v>
      </c>
      <c r="I12" s="257" t="s">
        <v>103</v>
      </c>
      <c r="J12" s="516" t="s">
        <v>58</v>
      </c>
      <c r="K12" s="517"/>
      <c r="L12" s="216">
        <v>15000</v>
      </c>
      <c r="N12" s="631" t="s">
        <v>76</v>
      </c>
      <c r="O12" s="632"/>
      <c r="P12" s="633">
        <f>'DemFin Proj'!C68</f>
        <v>8.367139033868809E-2</v>
      </c>
      <c r="Q12" s="634"/>
      <c r="S12" s="643"/>
      <c r="T12" s="643"/>
      <c r="U12" s="769"/>
      <c r="V12" s="769"/>
    </row>
    <row r="13" spans="1:31" x14ac:dyDescent="0.25">
      <c r="A13" s="155"/>
      <c r="B13" s="172"/>
      <c r="C13" s="155"/>
      <c r="D13" s="155"/>
      <c r="E13" s="155"/>
      <c r="F13" s="155"/>
      <c r="G13" s="155"/>
      <c r="H13" s="155"/>
      <c r="I13" s="518"/>
      <c r="J13" s="518"/>
      <c r="K13" s="519"/>
      <c r="L13" s="518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</row>
    <row r="14" spans="1:31" x14ac:dyDescent="0.25">
      <c r="A14" s="155"/>
      <c r="B14" s="172"/>
      <c r="C14" s="646" t="s">
        <v>856</v>
      </c>
      <c r="D14" s="198"/>
      <c r="E14" s="513" t="s">
        <v>188</v>
      </c>
      <c r="F14" s="513" t="s">
        <v>188</v>
      </c>
      <c r="G14" s="650" t="s">
        <v>189</v>
      </c>
      <c r="H14" s="155"/>
      <c r="I14" s="557" t="s">
        <v>857</v>
      </c>
      <c r="J14" s="555"/>
      <c r="K14" s="556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</row>
    <row r="15" spans="1:31" x14ac:dyDescent="0.25">
      <c r="A15" s="155"/>
      <c r="B15" s="172"/>
      <c r="C15" s="647"/>
      <c r="D15" s="196"/>
      <c r="E15" s="537" t="s">
        <v>187</v>
      </c>
      <c r="F15" s="537" t="s">
        <v>186</v>
      </c>
      <c r="G15" s="651"/>
      <c r="H15" s="155"/>
      <c r="I15" s="219" t="s">
        <v>66</v>
      </c>
      <c r="J15" s="553" t="s">
        <v>17</v>
      </c>
      <c r="K15" s="554">
        <f>84.5*12</f>
        <v>1014</v>
      </c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</row>
    <row r="16" spans="1:31" s="155" customFormat="1" x14ac:dyDescent="0.25">
      <c r="B16" s="172"/>
      <c r="C16" s="485" t="s">
        <v>190</v>
      </c>
      <c r="D16" s="199"/>
      <c r="E16" s="486"/>
      <c r="F16" s="486"/>
      <c r="G16" s="483"/>
      <c r="I16" s="257" t="s">
        <v>67</v>
      </c>
      <c r="J16" s="516" t="s">
        <v>858</v>
      </c>
      <c r="K16" s="521">
        <f>21.15/1000</f>
        <v>2.1149999999999999E-2</v>
      </c>
    </row>
    <row r="17" spans="2:11" s="155" customFormat="1" x14ac:dyDescent="0.25">
      <c r="C17" s="545" t="s">
        <v>846</v>
      </c>
      <c r="D17" s="199"/>
      <c r="E17" s="200">
        <v>0.5</v>
      </c>
      <c r="F17" s="540">
        <f>E17*$G$10</f>
        <v>4521.37110166824</v>
      </c>
      <c r="G17" s="599">
        <v>1</v>
      </c>
    </row>
    <row r="18" spans="2:11" s="155" customFormat="1" x14ac:dyDescent="0.25">
      <c r="C18" s="545" t="s">
        <v>847</v>
      </c>
      <c r="D18" s="199"/>
      <c r="E18" s="200">
        <v>0.5</v>
      </c>
      <c r="F18" s="540">
        <f>E18*$G$10</f>
        <v>4521.37110166824</v>
      </c>
      <c r="G18" s="599">
        <v>1</v>
      </c>
      <c r="I18" s="475" t="s">
        <v>859</v>
      </c>
      <c r="J18" s="542"/>
      <c r="K18" s="462" t="s">
        <v>860</v>
      </c>
    </row>
    <row r="19" spans="2:11" s="155" customFormat="1" x14ac:dyDescent="0.25">
      <c r="C19" s="545" t="s">
        <v>107</v>
      </c>
      <c r="D19" s="199"/>
      <c r="E19" s="200">
        <v>0.5</v>
      </c>
      <c r="F19" s="540">
        <f>E19*$G$10</f>
        <v>4521.37110166824</v>
      </c>
      <c r="G19" s="599">
        <v>1</v>
      </c>
      <c r="I19" s="522" t="s">
        <v>147</v>
      </c>
      <c r="J19" s="198"/>
      <c r="K19" s="523">
        <v>0.15</v>
      </c>
    </row>
    <row r="20" spans="2:11" s="155" customFormat="1" x14ac:dyDescent="0.25">
      <c r="C20" s="547" t="s">
        <v>204</v>
      </c>
      <c r="D20" s="548"/>
      <c r="E20" s="549"/>
      <c r="F20" s="549"/>
      <c r="G20" s="600"/>
      <c r="I20" s="524" t="s">
        <v>148</v>
      </c>
      <c r="J20" s="199"/>
      <c r="K20" s="525">
        <v>0.1</v>
      </c>
    </row>
    <row r="21" spans="2:11" s="155" customFormat="1" x14ac:dyDescent="0.25">
      <c r="C21" s="545" t="s">
        <v>205</v>
      </c>
      <c r="D21" s="199"/>
      <c r="E21" s="200">
        <v>0.33333333333333337</v>
      </c>
      <c r="F21" s="540">
        <f>E21*$G$11</f>
        <v>797.88901794145409</v>
      </c>
      <c r="G21" s="599">
        <v>2</v>
      </c>
      <c r="I21" s="524" t="s">
        <v>149</v>
      </c>
      <c r="J21" s="199"/>
      <c r="K21" s="526">
        <v>240000</v>
      </c>
    </row>
    <row r="22" spans="2:11" s="155" customFormat="1" x14ac:dyDescent="0.25">
      <c r="C22" s="545" t="s">
        <v>206</v>
      </c>
      <c r="D22" s="199"/>
      <c r="E22" s="200">
        <v>0.33333333333333337</v>
      </c>
      <c r="F22" s="540">
        <f>E22*$G$11</f>
        <v>797.88901794145409</v>
      </c>
      <c r="G22" s="599">
        <v>1</v>
      </c>
      <c r="I22" s="524" t="s">
        <v>80</v>
      </c>
      <c r="J22" s="199"/>
      <c r="K22" s="525">
        <v>0.09</v>
      </c>
    </row>
    <row r="23" spans="2:11" s="155" customFormat="1" x14ac:dyDescent="0.25">
      <c r="C23" s="546" t="s">
        <v>207</v>
      </c>
      <c r="D23" s="196"/>
      <c r="E23" s="197">
        <v>0.33333333333333337</v>
      </c>
      <c r="F23" s="541">
        <f>E23*$G$11</f>
        <v>797.88901794145409</v>
      </c>
      <c r="G23" s="601">
        <v>2</v>
      </c>
      <c r="I23" s="210" t="s">
        <v>65</v>
      </c>
      <c r="J23" s="199"/>
      <c r="K23" s="525">
        <v>9.2499999999999999E-2</v>
      </c>
    </row>
    <row r="24" spans="2:11" s="155" customFormat="1" x14ac:dyDescent="0.25">
      <c r="B24" s="172"/>
      <c r="I24" s="209" t="s">
        <v>64</v>
      </c>
      <c r="J24" s="196"/>
      <c r="K24" s="527">
        <v>2.0500000000000001E-2</v>
      </c>
    </row>
    <row r="25" spans="2:11" s="155" customFormat="1" x14ac:dyDescent="0.25">
      <c r="C25" s="475" t="s">
        <v>202</v>
      </c>
      <c r="D25" s="542"/>
      <c r="E25" s="462" t="s">
        <v>180</v>
      </c>
    </row>
    <row r="26" spans="2:11" s="155" customFormat="1" x14ac:dyDescent="0.25">
      <c r="C26" s="214" t="s">
        <v>190</v>
      </c>
      <c r="D26" s="199"/>
      <c r="E26" s="543">
        <f>'Banco de Dados - Grãos'!J7</f>
        <v>22123.141040391543</v>
      </c>
      <c r="I26" s="475" t="s">
        <v>131</v>
      </c>
      <c r="J26" s="542"/>
      <c r="K26" s="558"/>
    </row>
    <row r="27" spans="2:11" s="155" customFormat="1" x14ac:dyDescent="0.25">
      <c r="B27" s="172"/>
      <c r="C27" s="214" t="s">
        <v>205</v>
      </c>
      <c r="D27" s="199"/>
      <c r="E27" s="543">
        <f>'Uva - Agrianual_2020'!C137+'Uva - Agrianual_2020'!C138</f>
        <v>79338.94</v>
      </c>
      <c r="I27" s="522" t="s">
        <v>196</v>
      </c>
      <c r="J27" s="198"/>
      <c r="K27" s="523">
        <v>9.5004890394347008E-2</v>
      </c>
    </row>
    <row r="28" spans="2:11" s="155" customFormat="1" x14ac:dyDescent="0.25">
      <c r="C28" s="214" t="s">
        <v>206</v>
      </c>
      <c r="D28" s="199"/>
      <c r="E28" s="543">
        <f>'Manga - Agrianual_2020'!C118+'Manga - Agrianual_2020'!C119</f>
        <v>44816.03</v>
      </c>
      <c r="I28" s="524" t="s">
        <v>197</v>
      </c>
      <c r="J28" s="199"/>
      <c r="K28" s="525">
        <v>6.4346458804939832E-2</v>
      </c>
    </row>
    <row r="29" spans="2:11" s="155" customFormat="1" x14ac:dyDescent="0.25">
      <c r="C29" s="257" t="s">
        <v>207</v>
      </c>
      <c r="D29" s="196"/>
      <c r="E29" s="544">
        <f>'Banana - Agrianual_2020'!C110+'Banana - Agrianual_2020'!C111</f>
        <v>37836.400000000001</v>
      </c>
      <c r="I29" s="210" t="s">
        <v>198</v>
      </c>
      <c r="J29" s="199"/>
      <c r="K29" s="525">
        <v>0.3696702219287461</v>
      </c>
    </row>
    <row r="30" spans="2:11" s="155" customFormat="1" x14ac:dyDescent="0.25">
      <c r="G30" s="173"/>
      <c r="I30" s="524" t="s">
        <v>199</v>
      </c>
      <c r="J30" s="199"/>
      <c r="K30" s="525">
        <f>K27*(1-K29)+K28*K29</f>
        <v>8.3671381184703575E-2</v>
      </c>
    </row>
    <row r="31" spans="2:11" s="155" customFormat="1" x14ac:dyDescent="0.25">
      <c r="C31" s="646" t="s">
        <v>856</v>
      </c>
      <c r="D31" s="648" t="s">
        <v>854</v>
      </c>
      <c r="E31" s="513" t="s">
        <v>855</v>
      </c>
      <c r="F31" s="652" t="s">
        <v>179</v>
      </c>
      <c r="G31" s="539" t="s">
        <v>181</v>
      </c>
      <c r="I31" s="528" t="s">
        <v>195</v>
      </c>
      <c r="J31" s="196"/>
      <c r="K31" s="529">
        <v>101</v>
      </c>
    </row>
    <row r="32" spans="2:11" s="155" customFormat="1" x14ac:dyDescent="0.25">
      <c r="C32" s="647"/>
      <c r="D32" s="649"/>
      <c r="E32" s="537" t="s">
        <v>185</v>
      </c>
      <c r="F32" s="653"/>
      <c r="G32" s="538" t="s">
        <v>185</v>
      </c>
    </row>
    <row r="33" spans="2:31" s="155" customFormat="1" x14ac:dyDescent="0.25">
      <c r="C33" s="536" t="s">
        <v>190</v>
      </c>
      <c r="D33" s="198"/>
      <c r="E33" s="198"/>
      <c r="F33" s="198"/>
      <c r="G33" s="213"/>
      <c r="I33" s="475" t="s">
        <v>861</v>
      </c>
      <c r="J33" s="542"/>
      <c r="K33" s="558"/>
    </row>
    <row r="34" spans="2:31" s="155" customFormat="1" x14ac:dyDescent="0.25">
      <c r="C34" s="545" t="s">
        <v>21</v>
      </c>
      <c r="D34" s="505">
        <f>'Soja - Agrianual_2020'!C88</f>
        <v>75</v>
      </c>
      <c r="E34" s="253">
        <f>D34*F34*G17</f>
        <v>4200</v>
      </c>
      <c r="F34" s="510">
        <f>'Soja - Agrianual_2020'!C87</f>
        <v>56</v>
      </c>
      <c r="G34" s="250">
        <f>'Soja - Agrianual_2020'!C86</f>
        <v>2811.96</v>
      </c>
      <c r="I34" s="522" t="s">
        <v>83</v>
      </c>
      <c r="J34" s="463" t="s">
        <v>84</v>
      </c>
      <c r="K34" s="530">
        <f>-'DemFin Proj'!C56</f>
        <v>696373171.7976017</v>
      </c>
    </row>
    <row r="35" spans="2:31" s="155" customFormat="1" x14ac:dyDescent="0.25">
      <c r="C35" s="545" t="s">
        <v>22</v>
      </c>
      <c r="D35" s="505">
        <f>'Milho - Agrianual_2020'!C85</f>
        <v>29</v>
      </c>
      <c r="E35" s="253">
        <f>D35*F35*G18</f>
        <v>4335.5</v>
      </c>
      <c r="F35" s="510">
        <f>'Milho - Agrianual_2020'!C84</f>
        <v>149.5</v>
      </c>
      <c r="G35" s="250">
        <f>'Milho - Agrianual_2020'!C83</f>
        <v>3322.3699999999994</v>
      </c>
      <c r="I35" s="524" t="s">
        <v>85</v>
      </c>
      <c r="J35" s="486" t="s">
        <v>1</v>
      </c>
      <c r="K35" s="525">
        <f>K29</f>
        <v>0.3696702219287461</v>
      </c>
    </row>
    <row r="36" spans="2:31" s="155" customFormat="1" x14ac:dyDescent="0.25">
      <c r="B36" s="172"/>
      <c r="C36" s="545" t="s">
        <v>107</v>
      </c>
      <c r="D36" s="551">
        <f>'Algodão - Agrianual_2020'!C99</f>
        <v>90</v>
      </c>
      <c r="E36" s="253">
        <f>D36*F36*G19</f>
        <v>12285</v>
      </c>
      <c r="F36" s="552">
        <f>'Algodão - Agrianual_2020'!C96</f>
        <v>136.5</v>
      </c>
      <c r="G36" s="250">
        <f>'Algodão - Agrianual_2020'!C94</f>
        <v>8496.6600000000017</v>
      </c>
      <c r="I36" s="524" t="s">
        <v>86</v>
      </c>
      <c r="J36" s="486" t="s">
        <v>84</v>
      </c>
      <c r="K36" s="531">
        <f>K35*K34</f>
        <v>257428424.96364427</v>
      </c>
    </row>
    <row r="37" spans="2:31" s="155" customFormat="1" x14ac:dyDescent="0.25">
      <c r="B37" s="172"/>
      <c r="C37" s="547" t="s">
        <v>204</v>
      </c>
      <c r="D37" s="548"/>
      <c r="E37" s="548"/>
      <c r="F37" s="548"/>
      <c r="G37" s="550"/>
      <c r="I37" s="524" t="s">
        <v>87</v>
      </c>
      <c r="J37" s="486" t="s">
        <v>60</v>
      </c>
      <c r="K37" s="532">
        <v>15</v>
      </c>
    </row>
    <row r="38" spans="2:31" s="155" customFormat="1" x14ac:dyDescent="0.25">
      <c r="B38" s="172"/>
      <c r="C38" s="545" t="s">
        <v>205</v>
      </c>
      <c r="D38" s="506">
        <f>'Uva - Agrianual_2020'!C141</f>
        <v>4500</v>
      </c>
      <c r="E38" s="253">
        <f>D38*F38*G21</f>
        <v>266785.71428571426</v>
      </c>
      <c r="F38" s="508">
        <f>'Uva - Agrianual_2020'!C140</f>
        <v>29.642857142857142</v>
      </c>
      <c r="G38" s="250">
        <f>'Uva - Agrianual_2020'!C139</f>
        <v>147188.35714285713</v>
      </c>
      <c r="I38" s="524" t="s">
        <v>88</v>
      </c>
      <c r="J38" s="486" t="s">
        <v>60</v>
      </c>
      <c r="K38" s="532">
        <v>3</v>
      </c>
    </row>
    <row r="39" spans="2:31" x14ac:dyDescent="0.25">
      <c r="B39" s="155"/>
      <c r="C39" s="545" t="s">
        <v>206</v>
      </c>
      <c r="D39" s="506">
        <f>'Manga - Agrianual_2020'!C122</f>
        <v>1160</v>
      </c>
      <c r="E39" s="253">
        <f>D39*F39*G22</f>
        <v>27294.117647058825</v>
      </c>
      <c r="F39" s="508">
        <f>'Manga - Agrianual_2020'!C121</f>
        <v>23.529411764705884</v>
      </c>
      <c r="G39" s="250">
        <f>'Manga - Agrianual_2020'!C120</f>
        <v>15458.347647058821</v>
      </c>
      <c r="H39" s="155"/>
      <c r="I39" s="524" t="s">
        <v>89</v>
      </c>
      <c r="J39" s="486" t="s">
        <v>60</v>
      </c>
      <c r="K39" s="533">
        <f>K37-K38</f>
        <v>12</v>
      </c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</row>
    <row r="40" spans="2:31" x14ac:dyDescent="0.25">
      <c r="B40" s="155"/>
      <c r="C40" s="546" t="s">
        <v>207</v>
      </c>
      <c r="D40" s="507">
        <f>'Banana - Agrianual_2020'!C115</f>
        <v>1690</v>
      </c>
      <c r="E40" s="251">
        <f>D40*F40*G23</f>
        <v>69712.5</v>
      </c>
      <c r="F40" s="509">
        <f>'Banana - Agrianual_2020'!C114</f>
        <v>20.625</v>
      </c>
      <c r="G40" s="252">
        <f>'Banana - Agrianual_2020'!C112</f>
        <v>15222.674999999999</v>
      </c>
      <c r="H40" s="155"/>
      <c r="I40" s="528" t="s">
        <v>90</v>
      </c>
      <c r="J40" s="464" t="s">
        <v>91</v>
      </c>
      <c r="K40" s="527">
        <f>K28</f>
        <v>6.4346458804939832E-2</v>
      </c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</row>
    <row r="41" spans="2:31" x14ac:dyDescent="0.25">
      <c r="B41" s="155"/>
      <c r="C41" s="199"/>
      <c r="D41" s="249"/>
      <c r="E41" s="253"/>
      <c r="F41" s="518"/>
      <c r="G41" s="518"/>
      <c r="H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</row>
    <row r="42" spans="2:31" x14ac:dyDescent="0.25">
      <c r="B42" s="155"/>
      <c r="C42" s="646" t="s">
        <v>870</v>
      </c>
      <c r="D42" s="648" t="s">
        <v>871</v>
      </c>
      <c r="E42" s="654" t="s">
        <v>872</v>
      </c>
      <c r="F42" s="518"/>
      <c r="G42" s="518"/>
      <c r="H42" s="155"/>
      <c r="I42" s="475" t="s">
        <v>843</v>
      </c>
      <c r="J42" s="461" t="s">
        <v>844</v>
      </c>
      <c r="K42" s="636" t="s">
        <v>845</v>
      </c>
      <c r="L42" s="637"/>
      <c r="M42" s="155"/>
      <c r="N42" s="155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</row>
    <row r="43" spans="2:31" x14ac:dyDescent="0.25">
      <c r="B43" s="155"/>
      <c r="C43" s="647"/>
      <c r="D43" s="649"/>
      <c r="E43" s="655"/>
      <c r="F43" s="518"/>
      <c r="G43" s="155"/>
      <c r="H43" s="155"/>
      <c r="I43" s="208" t="s">
        <v>824</v>
      </c>
      <c r="J43" s="481">
        <v>2.5000000000000001E-3</v>
      </c>
      <c r="K43" s="583">
        <v>0.05</v>
      </c>
      <c r="L43" s="580" t="s">
        <v>866</v>
      </c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</row>
    <row r="44" spans="2:31" x14ac:dyDescent="0.25">
      <c r="B44" s="155"/>
      <c r="C44" s="210" t="s">
        <v>205</v>
      </c>
      <c r="D44" s="593">
        <v>1</v>
      </c>
      <c r="E44" s="543">
        <v>0</v>
      </c>
      <c r="F44" s="518"/>
      <c r="H44" s="155"/>
      <c r="I44" s="210" t="s">
        <v>840</v>
      </c>
      <c r="J44" s="482">
        <v>2E-3</v>
      </c>
      <c r="K44" s="584">
        <v>1</v>
      </c>
      <c r="L44" s="581" t="s">
        <v>842</v>
      </c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</row>
    <row r="45" spans="2:31" x14ac:dyDescent="0.25">
      <c r="B45" s="155"/>
      <c r="C45" s="210" t="s">
        <v>206</v>
      </c>
      <c r="D45" s="593">
        <v>2</v>
      </c>
      <c r="E45" s="543">
        <v>0</v>
      </c>
      <c r="F45" s="518"/>
      <c r="H45" s="155"/>
      <c r="I45" s="209" t="s">
        <v>841</v>
      </c>
      <c r="J45" s="484">
        <v>2E-3</v>
      </c>
      <c r="K45" s="585">
        <v>0.5</v>
      </c>
      <c r="L45" s="582" t="s">
        <v>867</v>
      </c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</row>
    <row r="46" spans="2:31" x14ac:dyDescent="0.25">
      <c r="B46" s="155"/>
      <c r="C46" s="209" t="s">
        <v>207</v>
      </c>
      <c r="D46" s="594">
        <v>0</v>
      </c>
      <c r="E46" s="544">
        <v>15</v>
      </c>
      <c r="F46" s="518"/>
      <c r="H46" s="155"/>
      <c r="I46" s="199"/>
      <c r="J46" s="199"/>
      <c r="K46" s="199"/>
      <c r="L46" s="199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</row>
    <row r="47" spans="2:31" x14ac:dyDescent="0.25">
      <c r="B47" s="155"/>
      <c r="C47" s="155"/>
      <c r="D47" s="155"/>
      <c r="E47" s="155"/>
      <c r="F47" s="155"/>
      <c r="H47" s="155"/>
      <c r="I47" s="199"/>
      <c r="J47" s="199"/>
      <c r="K47" s="199"/>
      <c r="L47" s="199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</row>
    <row r="48" spans="2:31" x14ac:dyDescent="0.25">
      <c r="B48" s="155"/>
      <c r="C48" s="646" t="s">
        <v>561</v>
      </c>
      <c r="D48" s="513" t="s">
        <v>803</v>
      </c>
      <c r="E48" s="513" t="s">
        <v>804</v>
      </c>
      <c r="F48" s="539" t="s">
        <v>806</v>
      </c>
      <c r="H48" s="155"/>
      <c r="I48" s="199"/>
      <c r="J48" s="199"/>
      <c r="K48" s="199"/>
      <c r="L48" s="199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</row>
    <row r="49" spans="2:31" x14ac:dyDescent="0.25">
      <c r="B49" s="155"/>
      <c r="C49" s="647"/>
      <c r="D49" s="537" t="s">
        <v>180</v>
      </c>
      <c r="E49" s="537" t="s">
        <v>805</v>
      </c>
      <c r="F49" s="538" t="s">
        <v>807</v>
      </c>
      <c r="H49" s="155"/>
      <c r="I49" s="199"/>
      <c r="J49" s="199"/>
      <c r="K49" s="199"/>
      <c r="L49" s="199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</row>
    <row r="50" spans="2:31" ht="13.5" customHeight="1" x14ac:dyDescent="0.25">
      <c r="B50" s="155"/>
      <c r="C50" s="210" t="s">
        <v>205</v>
      </c>
      <c r="D50" s="253">
        <f>'Uva - Agrianual_2020'!C143</f>
        <v>5877.15</v>
      </c>
      <c r="E50" s="200">
        <f>'Uva - Agrianual_2020'!C145</f>
        <v>0.33333333333333298</v>
      </c>
      <c r="F50" s="250" t="str">
        <f>'Uva - Agrianual_2020'!C144</f>
        <v>3 anos</v>
      </c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</row>
    <row r="51" spans="2:31" x14ac:dyDescent="0.25">
      <c r="B51" s="155"/>
      <c r="C51" s="210" t="s">
        <v>206</v>
      </c>
      <c r="D51" s="253">
        <f>'Manga - Agrianual_2020'!C124</f>
        <v>1882.38</v>
      </c>
      <c r="E51" s="200">
        <f>'Manga - Agrianual_2020'!C126</f>
        <v>0.33333333333333298</v>
      </c>
      <c r="F51" s="250" t="str">
        <f>'Manga - Agrianual_2020'!C125</f>
        <v>3 Anos</v>
      </c>
      <c r="H51" s="155"/>
      <c r="I51" s="534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</row>
    <row r="52" spans="2:31" x14ac:dyDescent="0.25">
      <c r="B52" s="155"/>
      <c r="C52" s="209" t="s">
        <v>207</v>
      </c>
      <c r="D52" s="251">
        <f>'Banana - Agrianual_2020'!C117</f>
        <v>5002.5200000000004</v>
      </c>
      <c r="E52" s="197">
        <f>'Banana - Agrianual_2020'!C119</f>
        <v>0.33333333333333298</v>
      </c>
      <c r="F52" s="252" t="str">
        <f>'Banana - Agrianual_2020'!C118</f>
        <v>3 anos</v>
      </c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</row>
    <row r="53" spans="2:31" x14ac:dyDescent="0.25">
      <c r="B53" s="155"/>
      <c r="G53" s="512"/>
      <c r="H53" s="155"/>
      <c r="I53" s="629"/>
      <c r="J53" s="629"/>
      <c r="K53" s="629"/>
      <c r="L53" s="629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</row>
    <row r="54" spans="2:31" x14ac:dyDescent="0.25">
      <c r="B54" s="155"/>
      <c r="C54" s="208"/>
      <c r="D54" s="513" t="s">
        <v>182</v>
      </c>
      <c r="E54" s="539" t="s">
        <v>184</v>
      </c>
      <c r="G54" s="512"/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</row>
    <row r="55" spans="2:31" x14ac:dyDescent="0.25">
      <c r="B55" s="155"/>
      <c r="C55" s="209"/>
      <c r="D55" s="537" t="s">
        <v>183</v>
      </c>
      <c r="E55" s="538" t="s">
        <v>185</v>
      </c>
      <c r="G55" s="512"/>
      <c r="H55" s="155"/>
      <c r="I55" s="629"/>
      <c r="J55" s="629"/>
      <c r="K55" s="629"/>
      <c r="L55" s="629"/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  <c r="Z55" s="155"/>
      <c r="AA55" s="155"/>
      <c r="AB55" s="155"/>
      <c r="AC55" s="155"/>
      <c r="AD55" s="155"/>
      <c r="AE55" s="155"/>
    </row>
    <row r="56" spans="2:31" x14ac:dyDescent="0.25">
      <c r="B56" s="155"/>
      <c r="C56" s="210" t="s">
        <v>21</v>
      </c>
      <c r="D56" s="218">
        <v>7042.31</v>
      </c>
      <c r="E56" s="217">
        <f t="shared" ref="E56:E61" si="0">D56*$K$16</f>
        <v>148.94485649999999</v>
      </c>
      <c r="G56" s="155"/>
      <c r="H56" s="155"/>
      <c r="I56" s="535"/>
      <c r="J56" s="535"/>
      <c r="K56" s="535"/>
      <c r="L56" s="535"/>
      <c r="M56" s="155"/>
      <c r="N56" s="155"/>
      <c r="O56" s="155"/>
      <c r="P56" s="173"/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</row>
    <row r="57" spans="2:31" x14ac:dyDescent="0.25">
      <c r="B57" s="155"/>
      <c r="C57" s="210" t="s">
        <v>22</v>
      </c>
      <c r="D57" s="218">
        <v>6875.25</v>
      </c>
      <c r="E57" s="217">
        <f t="shared" si="0"/>
        <v>145.41153749999998</v>
      </c>
      <c r="G57" s="512"/>
      <c r="H57" s="155"/>
      <c r="I57" s="535"/>
      <c r="J57" s="535"/>
      <c r="K57" s="535"/>
      <c r="L57" s="535"/>
      <c r="M57" s="155"/>
      <c r="N57" s="155"/>
      <c r="O57" s="155"/>
      <c r="P57" s="173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</row>
    <row r="58" spans="2:31" x14ac:dyDescent="0.25">
      <c r="B58" s="155"/>
      <c r="C58" s="210" t="s">
        <v>107</v>
      </c>
      <c r="D58" s="218">
        <f>D56</f>
        <v>7042.31</v>
      </c>
      <c r="E58" s="217">
        <f t="shared" si="0"/>
        <v>148.94485649999999</v>
      </c>
      <c r="G58" s="512"/>
      <c r="H58" s="155"/>
      <c r="I58" s="535"/>
      <c r="J58" s="535"/>
      <c r="K58" s="535"/>
      <c r="L58" s="535"/>
      <c r="M58" s="155"/>
      <c r="N58" s="155"/>
      <c r="O58" s="155"/>
      <c r="P58" s="173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</row>
    <row r="59" spans="2:31" x14ac:dyDescent="0.25">
      <c r="B59" s="155"/>
      <c r="C59" s="210" t="s">
        <v>205</v>
      </c>
      <c r="D59" s="218">
        <v>8100</v>
      </c>
      <c r="E59" s="217">
        <f t="shared" si="0"/>
        <v>171.315</v>
      </c>
      <c r="G59" s="512"/>
      <c r="H59" s="155"/>
      <c r="I59" s="535"/>
      <c r="J59" s="535"/>
      <c r="K59" s="535"/>
      <c r="L59" s="535"/>
      <c r="M59" s="155"/>
      <c r="N59" s="155"/>
      <c r="O59" s="155"/>
      <c r="P59" s="173"/>
      <c r="Q59" s="155"/>
      <c r="R59" s="155"/>
      <c r="S59" s="155"/>
      <c r="T59" s="155"/>
      <c r="U59" s="155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</row>
    <row r="60" spans="2:31" x14ac:dyDescent="0.25">
      <c r="B60" s="155"/>
      <c r="C60" s="210" t="s">
        <v>206</v>
      </c>
      <c r="D60" s="218">
        <v>11200</v>
      </c>
      <c r="E60" s="217">
        <f t="shared" si="0"/>
        <v>236.88</v>
      </c>
      <c r="G60" s="512"/>
      <c r="H60" s="155"/>
      <c r="I60" s="535"/>
      <c r="J60" s="535"/>
      <c r="K60" s="535"/>
      <c r="L60" s="535"/>
      <c r="M60" s="155"/>
      <c r="N60" s="155"/>
      <c r="O60" s="155"/>
      <c r="P60" s="173"/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</row>
    <row r="61" spans="2:31" x14ac:dyDescent="0.25">
      <c r="B61" s="155"/>
      <c r="C61" s="209" t="s">
        <v>207</v>
      </c>
      <c r="D61" s="258">
        <v>16000</v>
      </c>
      <c r="E61" s="259">
        <f t="shared" si="0"/>
        <v>338.4</v>
      </c>
      <c r="G61" s="512"/>
      <c r="H61" s="155"/>
      <c r="I61" s="535"/>
      <c r="J61" s="535"/>
      <c r="K61" s="535"/>
      <c r="L61" s="535"/>
      <c r="M61" s="155"/>
      <c r="N61" s="155"/>
      <c r="O61" s="155"/>
      <c r="P61" s="173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  <c r="AE61" s="155"/>
    </row>
    <row r="62" spans="2:31" x14ac:dyDescent="0.25">
      <c r="B62" s="155"/>
      <c r="G62" s="155"/>
      <c r="H62" s="155"/>
      <c r="I62" s="535"/>
      <c r="J62" s="535"/>
      <c r="K62" s="535"/>
      <c r="L62" s="535"/>
      <c r="M62" s="155"/>
      <c r="N62" s="155"/>
      <c r="O62" s="155"/>
      <c r="P62" s="173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55"/>
    </row>
    <row r="63" spans="2:31" ht="13.5" customHeight="1" x14ac:dyDescent="0.25">
      <c r="B63" s="155"/>
      <c r="G63" s="155"/>
      <c r="H63" s="155"/>
      <c r="I63" s="155"/>
      <c r="J63" s="155"/>
      <c r="K63" s="173"/>
      <c r="L63" s="155"/>
      <c r="M63" s="155"/>
      <c r="N63" s="155"/>
      <c r="O63" s="155"/>
      <c r="P63" s="173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55"/>
    </row>
    <row r="64" spans="2:31" x14ac:dyDescent="0.25">
      <c r="B64" s="155"/>
      <c r="G64" s="155"/>
      <c r="H64" s="155"/>
      <c r="I64" s="155"/>
      <c r="J64" s="155"/>
      <c r="K64" s="155"/>
      <c r="L64" s="155"/>
      <c r="M64" s="155"/>
      <c r="N64" s="155"/>
      <c r="O64" s="155"/>
      <c r="P64" s="173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55"/>
    </row>
    <row r="65" spans="2:31" x14ac:dyDescent="0.25">
      <c r="B65" s="155"/>
      <c r="G65" s="155"/>
      <c r="H65" s="155"/>
      <c r="I65" s="155"/>
      <c r="J65" s="155"/>
      <c r="K65" s="173"/>
      <c r="L65" s="155"/>
      <c r="M65" s="155"/>
      <c r="N65" s="155"/>
      <c r="O65" s="155"/>
      <c r="P65" s="173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55"/>
    </row>
    <row r="66" spans="2:31" x14ac:dyDescent="0.25">
      <c r="B66" s="155"/>
      <c r="G66" s="173"/>
      <c r="H66" s="155"/>
      <c r="I66" s="155"/>
      <c r="J66" s="173"/>
      <c r="K66" s="155"/>
      <c r="L66" s="155"/>
      <c r="M66" s="155"/>
      <c r="N66" s="155"/>
      <c r="O66" s="155"/>
      <c r="P66" s="173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55"/>
    </row>
    <row r="67" spans="2:31" x14ac:dyDescent="0.25">
      <c r="B67" s="155"/>
      <c r="G67" s="155"/>
      <c r="H67" s="155"/>
      <c r="I67" s="155"/>
      <c r="J67" s="173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55"/>
    </row>
    <row r="68" spans="2:31" x14ac:dyDescent="0.25">
      <c r="B68" s="155"/>
      <c r="G68" s="155"/>
      <c r="H68" s="155"/>
      <c r="I68" s="155"/>
      <c r="J68" s="173"/>
      <c r="K68" s="155"/>
      <c r="L68" s="155"/>
      <c r="M68" s="155"/>
      <c r="N68" s="155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  <c r="AE68" s="155"/>
    </row>
    <row r="69" spans="2:31" x14ac:dyDescent="0.25">
      <c r="B69" s="155"/>
      <c r="G69" s="155"/>
      <c r="H69" s="155"/>
      <c r="I69" s="155"/>
      <c r="J69" s="173"/>
      <c r="K69" s="155"/>
      <c r="L69" s="155"/>
      <c r="M69" s="155"/>
      <c r="N69" s="155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55"/>
    </row>
    <row r="70" spans="2:31" x14ac:dyDescent="0.25">
      <c r="B70" s="155"/>
      <c r="G70" s="155"/>
      <c r="H70" s="155"/>
      <c r="I70" s="155"/>
      <c r="J70" s="520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55"/>
    </row>
    <row r="71" spans="2:31" x14ac:dyDescent="0.25">
      <c r="B71" s="155"/>
      <c r="C71" s="155"/>
      <c r="D71" s="155"/>
      <c r="E71" s="512"/>
      <c r="F71" s="173"/>
      <c r="G71" s="155"/>
      <c r="H71" s="155"/>
      <c r="I71" s="155"/>
      <c r="J71" s="173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55"/>
    </row>
    <row r="72" spans="2:31" x14ac:dyDescent="0.25">
      <c r="B72" s="155"/>
      <c r="C72" s="155"/>
      <c r="D72" s="155"/>
      <c r="E72" s="512"/>
      <c r="F72" s="173"/>
      <c r="G72" s="155"/>
      <c r="H72" s="155"/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5"/>
      <c r="AE72" s="155"/>
    </row>
    <row r="73" spans="2:31" x14ac:dyDescent="0.25">
      <c r="B73" s="155"/>
      <c r="C73" s="155"/>
      <c r="D73" s="155"/>
      <c r="E73" s="512"/>
      <c r="F73" s="173"/>
      <c r="G73" s="155"/>
      <c r="H73" s="155"/>
      <c r="I73" s="155"/>
      <c r="J73" s="155"/>
      <c r="K73" s="155"/>
      <c r="L73" s="155"/>
      <c r="M73" s="155"/>
      <c r="N73" s="155"/>
      <c r="O73" s="155"/>
      <c r="P73" s="173"/>
      <c r="Q73" s="173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55"/>
    </row>
    <row r="74" spans="2:31" x14ac:dyDescent="0.25">
      <c r="B74" s="155"/>
      <c r="C74" s="155"/>
      <c r="D74" s="155"/>
      <c r="E74" s="155"/>
      <c r="F74" s="155"/>
      <c r="G74" s="155"/>
      <c r="H74" s="155"/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  <c r="AE74" s="155"/>
    </row>
    <row r="75" spans="2:31" x14ac:dyDescent="0.25">
      <c r="B75" s="155"/>
      <c r="C75" s="155"/>
      <c r="D75" s="155"/>
      <c r="E75" s="155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5"/>
      <c r="Q75" s="173"/>
      <c r="R75" s="155"/>
      <c r="S75" s="155"/>
      <c r="T75" s="155"/>
      <c r="U75" s="155"/>
      <c r="V75" s="155"/>
      <c r="W75" s="155"/>
      <c r="X75" s="155"/>
      <c r="Y75" s="155"/>
      <c r="Z75" s="155"/>
      <c r="AA75" s="155"/>
      <c r="AB75" s="155"/>
      <c r="AC75" s="155"/>
      <c r="AD75" s="155"/>
      <c r="AE75" s="155"/>
    </row>
    <row r="76" spans="2:31" x14ac:dyDescent="0.25">
      <c r="B76" s="155"/>
      <c r="C76" s="155"/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  <c r="AE76" s="155"/>
    </row>
    <row r="77" spans="2:31" x14ac:dyDescent="0.25">
      <c r="B77" s="155"/>
      <c r="C77" s="155"/>
      <c r="D77" s="155"/>
      <c r="E77" s="155"/>
      <c r="F77" s="155"/>
      <c r="G77" s="155"/>
      <c r="H77" s="155"/>
      <c r="I77" s="155"/>
      <c r="J77" s="155"/>
      <c r="K77" s="155"/>
      <c r="L77" s="173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5"/>
      <c r="Z77" s="155"/>
      <c r="AA77" s="155"/>
      <c r="AB77" s="155"/>
      <c r="AC77" s="155"/>
      <c r="AD77" s="155"/>
      <c r="AE77" s="155"/>
    </row>
    <row r="78" spans="2:31" x14ac:dyDescent="0.25">
      <c r="B78" s="155"/>
      <c r="C78" s="155"/>
      <c r="D78" s="155"/>
      <c r="E78" s="155"/>
      <c r="F78" s="155"/>
      <c r="G78" s="155"/>
      <c r="H78" s="155"/>
      <c r="I78" s="155"/>
      <c r="J78" s="155"/>
      <c r="K78" s="155"/>
      <c r="L78" s="173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  <c r="X78" s="155"/>
      <c r="Y78" s="155"/>
      <c r="Z78" s="155"/>
      <c r="AA78" s="155"/>
      <c r="AB78" s="155"/>
      <c r="AC78" s="155"/>
      <c r="AD78" s="155"/>
      <c r="AE78" s="155"/>
    </row>
    <row r="79" spans="2:31" x14ac:dyDescent="0.25">
      <c r="B79" s="155"/>
      <c r="C79" s="155"/>
      <c r="D79" s="155"/>
      <c r="E79" s="155"/>
      <c r="F79" s="155"/>
      <c r="G79" s="155"/>
      <c r="H79" s="155"/>
      <c r="I79" s="155"/>
      <c r="J79" s="155"/>
      <c r="K79" s="155"/>
      <c r="L79" s="173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  <c r="Z79" s="155"/>
      <c r="AA79" s="155"/>
      <c r="AB79" s="155"/>
      <c r="AC79" s="155"/>
      <c r="AD79" s="155"/>
      <c r="AE79" s="155"/>
    </row>
    <row r="80" spans="2:31" x14ac:dyDescent="0.25">
      <c r="B80" s="155"/>
      <c r="C80" s="155"/>
      <c r="D80" s="155"/>
      <c r="E80" s="155"/>
      <c r="F80" s="155"/>
      <c r="G80" s="155"/>
      <c r="H80" s="155"/>
      <c r="I80" s="155"/>
      <c r="J80" s="155"/>
      <c r="K80" s="155"/>
      <c r="L80" s="173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55"/>
      <c r="X80" s="155"/>
      <c r="Y80" s="155"/>
      <c r="Z80" s="155"/>
      <c r="AA80" s="155"/>
      <c r="AB80" s="155"/>
      <c r="AC80" s="155"/>
      <c r="AD80" s="155"/>
      <c r="AE80" s="155"/>
    </row>
    <row r="81" spans="2:31" x14ac:dyDescent="0.25">
      <c r="B81" s="155"/>
      <c r="C81" s="155"/>
      <c r="D81" s="155"/>
      <c r="E81" s="155"/>
      <c r="F81" s="155"/>
      <c r="G81" s="155"/>
      <c r="H81" s="155"/>
      <c r="I81" s="155"/>
      <c r="J81" s="155"/>
      <c r="K81" s="155"/>
      <c r="L81" s="173"/>
      <c r="M81" s="155"/>
      <c r="N81" s="155"/>
      <c r="O81" s="155"/>
      <c r="P81" s="155"/>
      <c r="Q81" s="155"/>
      <c r="R81" s="155"/>
      <c r="S81" s="155"/>
      <c r="T81" s="155"/>
      <c r="U81" s="155"/>
      <c r="V81" s="155"/>
      <c r="W81" s="155"/>
      <c r="X81" s="155"/>
      <c r="Y81" s="155"/>
      <c r="Z81" s="155"/>
      <c r="AA81" s="155"/>
      <c r="AB81" s="155"/>
      <c r="AC81" s="155"/>
      <c r="AD81" s="155"/>
      <c r="AE81" s="155"/>
    </row>
    <row r="82" spans="2:31" x14ac:dyDescent="0.25">
      <c r="B82" s="155"/>
      <c r="C82" s="155"/>
      <c r="D82" s="155"/>
      <c r="E82" s="173"/>
      <c r="F82" s="155"/>
      <c r="G82" s="155"/>
      <c r="H82" s="155"/>
      <c r="I82" s="155"/>
      <c r="J82" s="155"/>
      <c r="K82" s="155"/>
      <c r="L82" s="173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</row>
    <row r="83" spans="2:31" x14ac:dyDescent="0.25">
      <c r="B83" s="155"/>
      <c r="C83" s="155"/>
      <c r="D83" s="155"/>
      <c r="E83" s="173"/>
      <c r="F83" s="155"/>
      <c r="G83" s="155"/>
      <c r="H83" s="155"/>
      <c r="I83" s="155"/>
      <c r="J83" s="155"/>
      <c r="K83" s="155"/>
      <c r="L83" s="173"/>
      <c r="M83" s="155"/>
      <c r="N83" s="155"/>
      <c r="O83" s="155"/>
      <c r="P83" s="155"/>
      <c r="Q83" s="155"/>
      <c r="R83" s="155"/>
      <c r="S83" s="155"/>
      <c r="T83" s="155"/>
      <c r="U83" s="155"/>
      <c r="V83" s="155"/>
      <c r="W83" s="155"/>
      <c r="X83" s="155"/>
      <c r="Y83" s="155"/>
      <c r="Z83" s="155"/>
      <c r="AA83" s="155"/>
      <c r="AB83" s="155"/>
      <c r="AC83" s="155"/>
      <c r="AD83" s="155"/>
      <c r="AE83" s="155"/>
    </row>
    <row r="84" spans="2:31" x14ac:dyDescent="0.25">
      <c r="B84" s="154"/>
      <c r="E84" s="254"/>
      <c r="G84" s="154"/>
      <c r="M84" s="155"/>
      <c r="N84" s="155"/>
      <c r="O84" s="155"/>
      <c r="P84" s="155"/>
      <c r="Q84" s="155"/>
      <c r="R84" s="155"/>
      <c r="S84" s="155"/>
      <c r="T84" s="155"/>
      <c r="U84" s="155"/>
      <c r="V84" s="155"/>
      <c r="W84" s="155"/>
      <c r="X84" s="155"/>
      <c r="Y84" s="155"/>
      <c r="Z84" s="155"/>
      <c r="AA84" s="155"/>
      <c r="AB84" s="155"/>
      <c r="AC84" s="155"/>
      <c r="AD84" s="155"/>
      <c r="AE84" s="155"/>
    </row>
    <row r="85" spans="2:31" x14ac:dyDescent="0.25">
      <c r="B85" s="154"/>
      <c r="E85" s="254"/>
      <c r="G85" s="154"/>
      <c r="J85" s="254"/>
      <c r="M85" s="155"/>
      <c r="N85" s="155"/>
      <c r="O85" s="155"/>
      <c r="P85" s="155"/>
      <c r="Q85" s="155"/>
      <c r="R85" s="155"/>
      <c r="S85" s="155"/>
      <c r="T85" s="155"/>
      <c r="U85" s="155"/>
      <c r="V85" s="155"/>
      <c r="W85" s="155"/>
      <c r="X85" s="155"/>
      <c r="Y85" s="155"/>
      <c r="Z85" s="155"/>
      <c r="AA85" s="155"/>
      <c r="AB85" s="155"/>
      <c r="AC85" s="155"/>
      <c r="AD85" s="155"/>
      <c r="AE85" s="155"/>
    </row>
    <row r="86" spans="2:31" s="155" customFormat="1" x14ac:dyDescent="0.25">
      <c r="B86" s="154"/>
      <c r="C86" s="154"/>
      <c r="D86" s="154"/>
      <c r="E86" s="254"/>
      <c r="F86" s="154"/>
      <c r="G86" s="154"/>
      <c r="I86" s="154"/>
      <c r="J86" s="154"/>
      <c r="K86" s="154"/>
      <c r="L86" s="154"/>
    </row>
    <row r="87" spans="2:31" x14ac:dyDescent="0.25">
      <c r="B87" s="154"/>
      <c r="E87" s="254"/>
      <c r="G87" s="154"/>
      <c r="I87" s="155"/>
      <c r="J87" s="155"/>
      <c r="K87" s="155"/>
      <c r="L87" s="155"/>
    </row>
    <row r="88" spans="2:31" s="155" customFormat="1" x14ac:dyDescent="0.25">
      <c r="B88" s="154"/>
      <c r="C88" s="154"/>
      <c r="D88" s="154"/>
      <c r="E88" s="154"/>
      <c r="F88" s="154"/>
      <c r="G88" s="154"/>
      <c r="I88" s="154"/>
      <c r="J88" s="154"/>
      <c r="K88" s="154"/>
      <c r="L88" s="154"/>
    </row>
    <row r="89" spans="2:31" s="155" customFormat="1" x14ac:dyDescent="0.25">
      <c r="B89" s="154"/>
      <c r="C89" s="154"/>
      <c r="D89" s="154"/>
      <c r="E89" s="154"/>
      <c r="F89" s="154"/>
      <c r="G89" s="154"/>
    </row>
    <row r="90" spans="2:31" s="155" customFormat="1" x14ac:dyDescent="0.25">
      <c r="B90" s="154"/>
      <c r="C90" s="154"/>
      <c r="D90" s="154"/>
      <c r="E90" s="154"/>
      <c r="F90" s="154"/>
      <c r="G90" s="154"/>
    </row>
    <row r="91" spans="2:31" s="155" customFormat="1" x14ac:dyDescent="0.25">
      <c r="B91" s="154"/>
      <c r="C91" s="154"/>
      <c r="D91" s="154"/>
      <c r="E91" s="154"/>
      <c r="F91" s="154"/>
      <c r="G91" s="154"/>
    </row>
    <row r="92" spans="2:31" s="155" customFormat="1" x14ac:dyDescent="0.25">
      <c r="B92" s="154"/>
      <c r="C92" s="154"/>
      <c r="D92" s="154"/>
      <c r="E92" s="154"/>
      <c r="F92" s="154"/>
      <c r="G92" s="154"/>
    </row>
    <row r="93" spans="2:31" s="155" customFormat="1" x14ac:dyDescent="0.25">
      <c r="B93" s="154"/>
    </row>
    <row r="94" spans="2:31" s="155" customFormat="1" x14ac:dyDescent="0.25">
      <c r="B94" s="154"/>
      <c r="C94" s="154"/>
      <c r="D94" s="154"/>
      <c r="E94" s="154"/>
      <c r="F94" s="154"/>
      <c r="G94" s="154"/>
    </row>
    <row r="95" spans="2:31" s="155" customFormat="1" x14ac:dyDescent="0.25">
      <c r="B95" s="154"/>
      <c r="C95" s="154"/>
      <c r="D95" s="154"/>
      <c r="E95" s="154"/>
      <c r="F95" s="154"/>
      <c r="G95" s="154"/>
    </row>
    <row r="96" spans="2:31" s="155" customFormat="1" x14ac:dyDescent="0.25">
      <c r="B96" s="154"/>
      <c r="C96" s="154"/>
      <c r="D96" s="154"/>
      <c r="E96" s="154"/>
      <c r="F96" s="154"/>
      <c r="G96" s="154"/>
    </row>
    <row r="97" spans="1:12" s="155" customFormat="1" x14ac:dyDescent="0.25">
      <c r="B97" s="154"/>
      <c r="C97" s="154"/>
      <c r="D97" s="154"/>
      <c r="E97" s="154"/>
      <c r="F97" s="154"/>
      <c r="G97" s="154"/>
    </row>
    <row r="98" spans="1:12" s="155" customFormat="1" x14ac:dyDescent="0.25">
      <c r="B98" s="154"/>
      <c r="C98" s="154"/>
      <c r="D98" s="154"/>
      <c r="E98" s="154"/>
      <c r="F98" s="154"/>
      <c r="G98" s="154"/>
    </row>
    <row r="99" spans="1:12" s="155" customFormat="1" ht="7.5" customHeight="1" x14ac:dyDescent="0.25">
      <c r="B99" s="154"/>
      <c r="C99" s="154"/>
      <c r="D99" s="154"/>
      <c r="E99" s="154"/>
      <c r="F99" s="154"/>
      <c r="G99" s="154"/>
    </row>
    <row r="100" spans="1:12" s="155" customFormat="1" x14ac:dyDescent="0.25">
      <c r="B100" s="154"/>
      <c r="C100" s="154"/>
      <c r="D100" s="154"/>
      <c r="E100" s="154"/>
      <c r="F100" s="154"/>
      <c r="G100" s="154"/>
    </row>
    <row r="101" spans="1:12" s="155" customFormat="1" ht="7.5" customHeight="1" x14ac:dyDescent="0.25">
      <c r="B101" s="154"/>
      <c r="C101" s="154"/>
      <c r="D101" s="154"/>
      <c r="E101" s="154"/>
      <c r="F101" s="154"/>
      <c r="G101" s="154"/>
    </row>
    <row r="102" spans="1:12" x14ac:dyDescent="0.25">
      <c r="B102" s="154"/>
      <c r="E102" s="154"/>
      <c r="G102" s="154"/>
      <c r="I102" s="155"/>
      <c r="J102" s="155"/>
      <c r="K102" s="155"/>
      <c r="L102" s="155"/>
    </row>
    <row r="103" spans="1:12" x14ac:dyDescent="0.25">
      <c r="B103" s="154"/>
      <c r="E103" s="154"/>
      <c r="G103" s="154"/>
    </row>
    <row r="104" spans="1:12" s="155" customFormat="1" ht="7.5" customHeight="1" x14ac:dyDescent="0.25">
      <c r="B104" s="154"/>
      <c r="C104" s="154"/>
      <c r="D104" s="154"/>
      <c r="E104" s="154"/>
      <c r="F104" s="154"/>
      <c r="G104" s="154"/>
      <c r="I104" s="154"/>
      <c r="J104" s="154"/>
      <c r="K104" s="154"/>
      <c r="L104" s="154"/>
    </row>
    <row r="105" spans="1:12" ht="6" customHeight="1" x14ac:dyDescent="0.25">
      <c r="B105" s="154"/>
      <c r="E105" s="154"/>
      <c r="G105" s="154"/>
      <c r="I105" s="155"/>
      <c r="J105" s="155"/>
      <c r="K105" s="155"/>
      <c r="L105" s="155"/>
    </row>
    <row r="106" spans="1:12" x14ac:dyDescent="0.25">
      <c r="B106" s="154"/>
      <c r="E106" s="154"/>
      <c r="G106" s="154"/>
    </row>
    <row r="107" spans="1:12" s="155" customFormat="1" ht="5.25" customHeight="1" x14ac:dyDescent="0.25">
      <c r="B107" s="154"/>
      <c r="C107" s="154"/>
      <c r="D107" s="154"/>
      <c r="E107" s="154"/>
      <c r="F107" s="154"/>
      <c r="G107" s="154"/>
      <c r="I107" s="154"/>
      <c r="J107" s="154"/>
      <c r="K107" s="154"/>
      <c r="L107" s="154"/>
    </row>
    <row r="108" spans="1:12" x14ac:dyDescent="0.25">
      <c r="A108" s="155"/>
      <c r="B108" s="154"/>
      <c r="E108" s="154"/>
      <c r="G108" s="154"/>
      <c r="I108" s="155"/>
      <c r="J108" s="155"/>
      <c r="K108" s="155"/>
      <c r="L108" s="155"/>
    </row>
    <row r="109" spans="1:12" x14ac:dyDescent="0.25">
      <c r="A109" s="155"/>
      <c r="B109" s="154"/>
      <c r="E109" s="154"/>
      <c r="G109" s="154"/>
    </row>
    <row r="110" spans="1:12" x14ac:dyDescent="0.25">
      <c r="B110" s="154"/>
      <c r="E110" s="154"/>
      <c r="G110" s="154"/>
    </row>
    <row r="111" spans="1:12" x14ac:dyDescent="0.25">
      <c r="B111" s="154"/>
      <c r="E111" s="154"/>
      <c r="G111" s="154"/>
    </row>
    <row r="112" spans="1:12" x14ac:dyDescent="0.25">
      <c r="B112" s="154"/>
      <c r="E112" s="154"/>
      <c r="G112" s="154"/>
    </row>
    <row r="113" spans="2:12" x14ac:dyDescent="0.25">
      <c r="B113" s="154"/>
      <c r="E113" s="154"/>
      <c r="G113" s="154"/>
    </row>
    <row r="114" spans="2:12" s="155" customFormat="1" x14ac:dyDescent="0.25">
      <c r="B114" s="154"/>
      <c r="C114" s="154"/>
      <c r="D114" s="154"/>
      <c r="E114" s="154"/>
      <c r="F114" s="154"/>
      <c r="G114" s="154"/>
      <c r="I114" s="154"/>
      <c r="J114" s="154"/>
      <c r="K114" s="154"/>
      <c r="L114" s="154"/>
    </row>
    <row r="115" spans="2:12" x14ac:dyDescent="0.25">
      <c r="B115" s="154"/>
      <c r="E115" s="154"/>
      <c r="G115" s="154"/>
      <c r="I115" s="155"/>
      <c r="J115" s="155"/>
      <c r="K115" s="155"/>
      <c r="L115" s="155"/>
    </row>
    <row r="116" spans="2:12" s="155" customFormat="1" x14ac:dyDescent="0.25">
      <c r="B116" s="154"/>
      <c r="C116" s="154"/>
      <c r="D116" s="154"/>
      <c r="E116" s="154"/>
      <c r="F116" s="154"/>
      <c r="G116" s="154"/>
      <c r="I116" s="154"/>
      <c r="J116" s="154"/>
      <c r="K116" s="154"/>
      <c r="L116" s="154"/>
    </row>
    <row r="117" spans="2:12" s="155" customFormat="1" x14ac:dyDescent="0.25">
      <c r="B117" s="154"/>
      <c r="C117" s="154"/>
      <c r="D117" s="154"/>
      <c r="E117" s="154"/>
      <c r="F117" s="154"/>
      <c r="G117" s="154"/>
    </row>
    <row r="118" spans="2:12" s="155" customFormat="1" x14ac:dyDescent="0.25">
      <c r="B118" s="154"/>
      <c r="C118" s="154"/>
      <c r="D118" s="154"/>
      <c r="E118" s="154"/>
      <c r="F118" s="154"/>
      <c r="G118" s="154"/>
    </row>
    <row r="119" spans="2:12" s="155" customFormat="1" x14ac:dyDescent="0.25">
      <c r="B119" s="154"/>
      <c r="C119" s="154"/>
      <c r="D119" s="154"/>
      <c r="E119" s="154"/>
      <c r="F119" s="154"/>
      <c r="G119" s="154"/>
    </row>
    <row r="120" spans="2:12" s="155" customFormat="1" x14ac:dyDescent="0.25">
      <c r="B120" s="154"/>
      <c r="C120" s="154"/>
      <c r="D120" s="154"/>
      <c r="E120" s="154"/>
      <c r="F120" s="154"/>
      <c r="G120" s="154"/>
    </row>
    <row r="121" spans="2:12" s="155" customFormat="1" x14ac:dyDescent="0.25">
      <c r="B121" s="154"/>
      <c r="C121" s="154"/>
      <c r="D121" s="154"/>
      <c r="E121" s="154"/>
      <c r="F121" s="154"/>
      <c r="G121" s="154"/>
    </row>
    <row r="122" spans="2:12" s="155" customFormat="1" x14ac:dyDescent="0.25">
      <c r="B122" s="154"/>
      <c r="C122" s="154"/>
      <c r="D122" s="154"/>
      <c r="E122" s="154"/>
      <c r="F122" s="154"/>
      <c r="G122" s="154"/>
    </row>
    <row r="123" spans="2:12" s="155" customFormat="1" x14ac:dyDescent="0.25">
      <c r="B123" s="154"/>
      <c r="C123" s="154"/>
      <c r="D123" s="154"/>
      <c r="E123" s="154"/>
      <c r="F123" s="154"/>
      <c r="G123" s="154"/>
    </row>
    <row r="124" spans="2:12" x14ac:dyDescent="0.25">
      <c r="B124" s="154"/>
      <c r="E124" s="154"/>
      <c r="G124" s="154"/>
      <c r="I124" s="155"/>
      <c r="J124" s="155"/>
      <c r="K124" s="155"/>
      <c r="L124" s="155"/>
    </row>
    <row r="125" spans="2:12" s="155" customFormat="1" x14ac:dyDescent="0.25">
      <c r="B125" s="154"/>
      <c r="C125" s="154"/>
      <c r="D125" s="154"/>
      <c r="E125" s="154"/>
      <c r="F125" s="154"/>
      <c r="G125" s="154"/>
      <c r="I125" s="154"/>
      <c r="J125" s="154"/>
      <c r="K125" s="154"/>
      <c r="L125" s="154"/>
    </row>
    <row r="126" spans="2:12" s="155" customFormat="1" x14ac:dyDescent="0.25">
      <c r="B126" s="154"/>
      <c r="C126" s="154"/>
      <c r="D126" s="154"/>
      <c r="E126" s="154"/>
      <c r="F126" s="154"/>
      <c r="G126" s="154"/>
    </row>
    <row r="127" spans="2:12" s="155" customFormat="1" x14ac:dyDescent="0.25">
      <c r="B127" s="172"/>
      <c r="C127" s="154"/>
      <c r="D127" s="154"/>
      <c r="E127" s="154"/>
      <c r="F127" s="154"/>
      <c r="G127" s="154"/>
    </row>
    <row r="128" spans="2:12" s="155" customFormat="1" x14ac:dyDescent="0.25">
      <c r="B128" s="172"/>
      <c r="C128" s="154"/>
      <c r="D128" s="154"/>
      <c r="E128" s="154"/>
      <c r="F128" s="154"/>
      <c r="G128" s="154"/>
    </row>
    <row r="129" spans="2:12" s="155" customFormat="1" ht="7.5" customHeight="1" x14ac:dyDescent="0.25">
      <c r="B129" s="172"/>
      <c r="C129" s="154"/>
      <c r="D129" s="154"/>
      <c r="E129" s="154"/>
      <c r="F129" s="154"/>
      <c r="G129" s="154"/>
    </row>
    <row r="130" spans="2:12" s="155" customFormat="1" x14ac:dyDescent="0.25">
      <c r="B130" s="172"/>
      <c r="C130" s="154"/>
      <c r="D130" s="154"/>
      <c r="E130" s="154"/>
      <c r="F130" s="154"/>
      <c r="G130" s="154"/>
    </row>
    <row r="131" spans="2:12" s="155" customFormat="1" x14ac:dyDescent="0.25">
      <c r="B131" s="172"/>
      <c r="C131" s="154"/>
      <c r="D131" s="154"/>
      <c r="E131" s="154"/>
      <c r="F131" s="154"/>
      <c r="G131" s="154"/>
    </row>
    <row r="132" spans="2:12" s="155" customFormat="1" x14ac:dyDescent="0.25">
      <c r="B132" s="172"/>
      <c r="C132" s="154"/>
      <c r="D132" s="154"/>
      <c r="E132" s="154"/>
      <c r="F132" s="154"/>
      <c r="G132" s="154"/>
    </row>
    <row r="133" spans="2:12" s="155" customFormat="1" x14ac:dyDescent="0.25">
      <c r="B133" s="172"/>
      <c r="C133" s="154"/>
      <c r="D133" s="154"/>
      <c r="E133" s="154"/>
      <c r="F133" s="154"/>
      <c r="G133" s="154"/>
    </row>
    <row r="134" spans="2:12" x14ac:dyDescent="0.25">
      <c r="B134" s="172"/>
      <c r="C134" s="172"/>
      <c r="D134" s="172"/>
      <c r="E134" s="172"/>
      <c r="F134" s="172"/>
      <c r="G134" s="155"/>
      <c r="I134" s="155"/>
      <c r="J134" s="155"/>
      <c r="K134" s="155"/>
      <c r="L134" s="155"/>
    </row>
    <row r="135" spans="2:12" x14ac:dyDescent="0.25">
      <c r="B135" s="172"/>
      <c r="C135" s="172"/>
      <c r="D135" s="172"/>
      <c r="E135" s="172"/>
      <c r="F135" s="172"/>
      <c r="G135" s="155"/>
      <c r="J135" s="155"/>
      <c r="K135" s="155"/>
      <c r="L135" s="155"/>
    </row>
    <row r="136" spans="2:12" x14ac:dyDescent="0.25">
      <c r="B136" s="172"/>
      <c r="C136" s="172"/>
      <c r="D136" s="172"/>
      <c r="E136" s="172"/>
      <c r="F136" s="172"/>
      <c r="G136" s="173"/>
    </row>
    <row r="137" spans="2:12" x14ac:dyDescent="0.25">
      <c r="B137" s="172"/>
      <c r="C137" s="172"/>
      <c r="D137" s="172"/>
      <c r="E137" s="172"/>
      <c r="F137" s="172"/>
      <c r="G137" s="155"/>
    </row>
    <row r="138" spans="2:12" x14ac:dyDescent="0.25">
      <c r="B138" s="172"/>
      <c r="C138" s="172"/>
      <c r="D138" s="172"/>
      <c r="E138" s="172"/>
      <c r="F138" s="172"/>
      <c r="G138" s="155"/>
    </row>
    <row r="139" spans="2:12" ht="6" customHeight="1" x14ac:dyDescent="0.25">
      <c r="B139" s="172"/>
      <c r="C139" s="172"/>
      <c r="D139" s="172"/>
      <c r="E139" s="172"/>
      <c r="F139" s="172"/>
      <c r="G139" s="155"/>
    </row>
    <row r="140" spans="2:12" x14ac:dyDescent="0.25">
      <c r="B140" s="172"/>
      <c r="C140" s="172"/>
      <c r="D140" s="172"/>
      <c r="E140" s="172"/>
      <c r="F140" s="172"/>
      <c r="G140" s="155"/>
    </row>
    <row r="141" spans="2:12" x14ac:dyDescent="0.25">
      <c r="B141" s="172"/>
      <c r="C141" s="172"/>
      <c r="D141" s="172"/>
      <c r="E141" s="172"/>
      <c r="F141" s="172"/>
      <c r="G141" s="173"/>
    </row>
    <row r="142" spans="2:12" x14ac:dyDescent="0.25">
      <c r="B142" s="172"/>
      <c r="C142" s="172"/>
      <c r="D142" s="172"/>
      <c r="E142" s="172"/>
      <c r="F142" s="172"/>
    </row>
    <row r="143" spans="2:12" x14ac:dyDescent="0.25">
      <c r="B143" s="172"/>
      <c r="C143" s="172"/>
      <c r="D143" s="172"/>
      <c r="E143" s="172"/>
      <c r="F143" s="172"/>
    </row>
    <row r="144" spans="2:12" x14ac:dyDescent="0.25">
      <c r="B144" s="172"/>
      <c r="C144" s="172"/>
      <c r="D144" s="172"/>
      <c r="E144" s="172"/>
      <c r="F144" s="172"/>
    </row>
    <row r="145" spans="2:7" x14ac:dyDescent="0.25">
      <c r="B145" s="172"/>
      <c r="C145" s="172"/>
      <c r="D145" s="172"/>
      <c r="E145" s="172"/>
      <c r="F145" s="172"/>
    </row>
    <row r="146" spans="2:7" x14ac:dyDescent="0.25">
      <c r="B146" s="172"/>
      <c r="C146" s="172"/>
      <c r="D146" s="172"/>
      <c r="E146" s="172"/>
      <c r="F146" s="172"/>
      <c r="G146" s="173"/>
    </row>
    <row r="147" spans="2:7" x14ac:dyDescent="0.25">
      <c r="B147" s="172"/>
      <c r="C147" s="172"/>
      <c r="D147" s="172"/>
      <c r="E147" s="172"/>
      <c r="F147" s="172"/>
    </row>
    <row r="148" spans="2:7" x14ac:dyDescent="0.25">
      <c r="B148" s="172"/>
      <c r="C148" s="172"/>
      <c r="D148" s="172"/>
      <c r="E148" s="172"/>
      <c r="F148" s="172"/>
    </row>
    <row r="149" spans="2:7" x14ac:dyDescent="0.25">
      <c r="B149" s="172"/>
      <c r="C149" s="172"/>
      <c r="D149" s="172"/>
      <c r="E149" s="172"/>
      <c r="F149" s="172"/>
    </row>
    <row r="150" spans="2:7" x14ac:dyDescent="0.25">
      <c r="B150" s="172"/>
      <c r="C150" s="172"/>
      <c r="D150" s="172"/>
      <c r="E150" s="172"/>
      <c r="F150" s="172"/>
    </row>
    <row r="151" spans="2:7" x14ac:dyDescent="0.25">
      <c r="B151" s="172"/>
      <c r="C151" s="172"/>
      <c r="D151" s="172"/>
      <c r="E151" s="172"/>
      <c r="F151" s="172"/>
      <c r="G151" s="172"/>
    </row>
    <row r="152" spans="2:7" x14ac:dyDescent="0.25">
      <c r="B152" s="172"/>
      <c r="C152" s="172"/>
      <c r="D152" s="172"/>
      <c r="E152" s="172"/>
      <c r="F152" s="172"/>
      <c r="G152" s="172"/>
    </row>
    <row r="153" spans="2:7" x14ac:dyDescent="0.25">
      <c r="B153" s="172"/>
      <c r="C153" s="172"/>
      <c r="D153" s="172"/>
      <c r="E153" s="172"/>
      <c r="F153" s="172"/>
      <c r="G153" s="172"/>
    </row>
    <row r="154" spans="2:7" x14ac:dyDescent="0.25">
      <c r="B154" s="172"/>
      <c r="C154" s="172"/>
      <c r="D154" s="172"/>
      <c r="E154" s="172"/>
      <c r="F154" s="172"/>
      <c r="G154" s="172"/>
    </row>
    <row r="155" spans="2:7" x14ac:dyDescent="0.25">
      <c r="B155" s="172"/>
      <c r="C155" s="172"/>
      <c r="D155" s="172"/>
      <c r="E155" s="172"/>
      <c r="F155" s="172"/>
      <c r="G155" s="172"/>
    </row>
    <row r="156" spans="2:7" x14ac:dyDescent="0.25">
      <c r="B156" s="172"/>
      <c r="C156" s="172"/>
      <c r="D156" s="172"/>
      <c r="E156" s="172"/>
      <c r="F156" s="172"/>
      <c r="G156" s="172"/>
    </row>
    <row r="157" spans="2:7" x14ac:dyDescent="0.25">
      <c r="B157" s="172"/>
      <c r="C157" s="172"/>
      <c r="D157" s="172"/>
      <c r="E157" s="172"/>
      <c r="F157" s="172"/>
      <c r="G157" s="172"/>
    </row>
    <row r="158" spans="2:7" x14ac:dyDescent="0.25">
      <c r="B158" s="172"/>
      <c r="C158" s="172"/>
      <c r="D158" s="172"/>
      <c r="E158" s="172"/>
      <c r="F158" s="172"/>
      <c r="G158" s="172"/>
    </row>
    <row r="159" spans="2:7" x14ac:dyDescent="0.25">
      <c r="B159" s="172"/>
      <c r="C159" s="172"/>
      <c r="D159" s="172"/>
      <c r="E159" s="172"/>
      <c r="F159" s="172"/>
      <c r="G159" s="172"/>
    </row>
    <row r="160" spans="2:7" x14ac:dyDescent="0.25">
      <c r="B160" s="172"/>
      <c r="C160" s="172"/>
      <c r="D160" s="172"/>
      <c r="E160" s="172"/>
      <c r="F160" s="172"/>
      <c r="G160" s="172"/>
    </row>
    <row r="161" spans="2:7" x14ac:dyDescent="0.25">
      <c r="B161" s="172"/>
      <c r="C161" s="172"/>
      <c r="D161" s="172"/>
      <c r="E161" s="172"/>
      <c r="F161" s="172"/>
      <c r="G161" s="172"/>
    </row>
    <row r="162" spans="2:7" x14ac:dyDescent="0.25">
      <c r="B162" s="172"/>
      <c r="C162" s="172"/>
      <c r="D162" s="172"/>
      <c r="E162" s="172"/>
      <c r="F162" s="172"/>
      <c r="G162" s="172"/>
    </row>
    <row r="163" spans="2:7" x14ac:dyDescent="0.25">
      <c r="B163" s="172"/>
      <c r="C163" s="172"/>
      <c r="D163" s="172"/>
      <c r="E163" s="172"/>
      <c r="F163" s="172"/>
      <c r="G163" s="172"/>
    </row>
    <row r="164" spans="2:7" x14ac:dyDescent="0.25">
      <c r="B164" s="172"/>
      <c r="C164" s="172"/>
      <c r="D164" s="172"/>
      <c r="E164" s="172"/>
      <c r="F164" s="172"/>
      <c r="G164" s="172"/>
    </row>
    <row r="165" spans="2:7" x14ac:dyDescent="0.25">
      <c r="B165" s="172"/>
      <c r="C165" s="172"/>
      <c r="D165" s="172"/>
      <c r="E165" s="172"/>
      <c r="F165" s="172"/>
      <c r="G165" s="172"/>
    </row>
    <row r="166" spans="2:7" x14ac:dyDescent="0.25">
      <c r="B166" s="172"/>
      <c r="C166" s="172"/>
      <c r="D166" s="172"/>
      <c r="E166" s="172"/>
      <c r="F166" s="172"/>
      <c r="G166" s="172"/>
    </row>
    <row r="167" spans="2:7" x14ac:dyDescent="0.25">
      <c r="B167" s="172"/>
      <c r="C167" s="172"/>
      <c r="D167" s="172"/>
      <c r="E167" s="172"/>
      <c r="F167" s="172"/>
      <c r="G167" s="172"/>
    </row>
    <row r="168" spans="2:7" x14ac:dyDescent="0.25">
      <c r="B168" s="172"/>
      <c r="C168" s="172"/>
      <c r="D168" s="172"/>
      <c r="E168" s="172"/>
      <c r="F168" s="172"/>
      <c r="G168" s="172"/>
    </row>
    <row r="169" spans="2:7" x14ac:dyDescent="0.25">
      <c r="B169" s="172"/>
      <c r="C169" s="172"/>
      <c r="D169" s="172"/>
      <c r="E169" s="172"/>
      <c r="F169" s="172"/>
      <c r="G169" s="172"/>
    </row>
    <row r="170" spans="2:7" x14ac:dyDescent="0.25">
      <c r="B170" s="172"/>
      <c r="C170" s="172"/>
      <c r="D170" s="172"/>
      <c r="E170" s="172"/>
      <c r="F170" s="172"/>
      <c r="G170" s="172"/>
    </row>
    <row r="171" spans="2:7" x14ac:dyDescent="0.25">
      <c r="B171" s="172"/>
      <c r="C171" s="172"/>
      <c r="D171" s="172"/>
      <c r="E171" s="172"/>
      <c r="F171" s="172"/>
      <c r="G171" s="172"/>
    </row>
    <row r="172" spans="2:7" x14ac:dyDescent="0.25">
      <c r="B172" s="172"/>
      <c r="C172" s="172"/>
      <c r="D172" s="172"/>
      <c r="E172" s="172"/>
      <c r="F172" s="172"/>
      <c r="G172" s="172"/>
    </row>
    <row r="173" spans="2:7" x14ac:dyDescent="0.25">
      <c r="B173" s="172"/>
      <c r="C173" s="172"/>
      <c r="D173" s="172"/>
      <c r="E173" s="172"/>
      <c r="F173" s="172"/>
      <c r="G173" s="172"/>
    </row>
    <row r="174" spans="2:7" x14ac:dyDescent="0.25">
      <c r="B174" s="172"/>
      <c r="C174" s="172"/>
      <c r="D174" s="172"/>
      <c r="E174" s="172"/>
      <c r="F174" s="172"/>
      <c r="G174" s="172"/>
    </row>
    <row r="175" spans="2:7" x14ac:dyDescent="0.25">
      <c r="B175" s="172"/>
      <c r="C175" s="172"/>
      <c r="D175" s="172"/>
      <c r="E175" s="172"/>
      <c r="F175" s="172"/>
      <c r="G175" s="172"/>
    </row>
    <row r="176" spans="2:7" x14ac:dyDescent="0.25">
      <c r="C176" s="172"/>
      <c r="D176" s="172"/>
      <c r="E176" s="172"/>
      <c r="F176" s="172"/>
      <c r="G176" s="172"/>
    </row>
    <row r="177" spans="3:7" x14ac:dyDescent="0.25">
      <c r="C177" s="172"/>
      <c r="D177" s="172"/>
      <c r="E177" s="172"/>
      <c r="F177" s="172"/>
      <c r="G177" s="172"/>
    </row>
    <row r="178" spans="3:7" x14ac:dyDescent="0.25">
      <c r="C178" s="172"/>
      <c r="D178" s="172"/>
      <c r="E178" s="172"/>
      <c r="F178" s="172"/>
      <c r="G178" s="172"/>
    </row>
    <row r="179" spans="3:7" x14ac:dyDescent="0.25">
      <c r="C179" s="172"/>
      <c r="D179" s="172"/>
      <c r="E179" s="172"/>
      <c r="F179" s="172"/>
      <c r="G179" s="172"/>
    </row>
    <row r="180" spans="3:7" x14ac:dyDescent="0.25">
      <c r="C180" s="172"/>
      <c r="D180" s="172"/>
      <c r="E180" s="172"/>
      <c r="F180" s="172"/>
      <c r="G180" s="172"/>
    </row>
    <row r="181" spans="3:7" x14ac:dyDescent="0.25">
      <c r="C181" s="172"/>
      <c r="D181" s="172"/>
      <c r="E181" s="172"/>
      <c r="F181" s="172"/>
      <c r="G181" s="172"/>
    </row>
    <row r="182" spans="3:7" x14ac:dyDescent="0.25">
      <c r="C182" s="172"/>
      <c r="D182" s="172"/>
      <c r="E182" s="172"/>
      <c r="F182" s="172"/>
      <c r="G182" s="172"/>
    </row>
  </sheetData>
  <mergeCells count="35">
    <mergeCell ref="P10:Q10"/>
    <mergeCell ref="P11:Q11"/>
    <mergeCell ref="B5:G5"/>
    <mergeCell ref="D8:E8"/>
    <mergeCell ref="F8:G8"/>
    <mergeCell ref="C31:C32"/>
    <mergeCell ref="N9:O9"/>
    <mergeCell ref="N10:O10"/>
    <mergeCell ref="N11:O11"/>
    <mergeCell ref="I53:L53"/>
    <mergeCell ref="C48:C49"/>
    <mergeCell ref="D31:D32"/>
    <mergeCell ref="G14:G15"/>
    <mergeCell ref="C8:C9"/>
    <mergeCell ref="C14:C15"/>
    <mergeCell ref="F31:F32"/>
    <mergeCell ref="C42:C43"/>
    <mergeCell ref="D42:D43"/>
    <mergeCell ref="E42:E43"/>
    <mergeCell ref="I55:L55"/>
    <mergeCell ref="M5:R5"/>
    <mergeCell ref="S12:T12"/>
    <mergeCell ref="U12:V12"/>
    <mergeCell ref="N12:O12"/>
    <mergeCell ref="P12:Q12"/>
    <mergeCell ref="N8:Q8"/>
    <mergeCell ref="S8:V8"/>
    <mergeCell ref="S9:T9"/>
    <mergeCell ref="U9:V9"/>
    <mergeCell ref="S10:T10"/>
    <mergeCell ref="U10:V10"/>
    <mergeCell ref="S11:T11"/>
    <mergeCell ref="U11:V11"/>
    <mergeCell ref="P9:Q9"/>
    <mergeCell ref="K42:L42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F12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P120"/>
  <sheetViews>
    <sheetView showGridLines="0" topLeftCell="A54" workbookViewId="0">
      <selection activeCell="A54" sqref="A54"/>
    </sheetView>
  </sheetViews>
  <sheetFormatPr defaultRowHeight="12.75" x14ac:dyDescent="0.2"/>
  <cols>
    <col min="1" max="1" width="1.42578125" style="231" customWidth="1"/>
    <col min="2" max="2" width="37.85546875" style="143" customWidth="1"/>
    <col min="3" max="3" width="19.42578125" style="143" bestFit="1" customWidth="1"/>
    <col min="4" max="4" width="1.7109375" style="143" customWidth="1"/>
    <col min="5" max="40" width="17" style="143" customWidth="1"/>
    <col min="41" max="16384" width="9.140625" style="143"/>
  </cols>
  <sheetData>
    <row r="1" spans="2:42" ht="7.5" customHeight="1" x14ac:dyDescent="0.2">
      <c r="B1" s="153"/>
      <c r="C1" s="153"/>
      <c r="D1" s="153"/>
      <c r="E1" s="154"/>
      <c r="F1" s="155"/>
      <c r="G1" s="174"/>
      <c r="H1" s="155"/>
      <c r="I1" s="154"/>
      <c r="J1" s="155"/>
      <c r="K1" s="156"/>
      <c r="L1" s="154"/>
      <c r="M1" s="153"/>
      <c r="N1" s="154"/>
      <c r="O1" s="155"/>
      <c r="P1" s="156"/>
      <c r="Q1" s="155"/>
      <c r="R1" s="154"/>
      <c r="S1" s="155"/>
      <c r="T1" s="156"/>
      <c r="U1" s="155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</row>
    <row r="2" spans="2:42" ht="12.75" customHeight="1" x14ac:dyDescent="0.2">
      <c r="B2" s="153"/>
      <c r="C2" s="153"/>
      <c r="D2" s="153"/>
      <c r="E2" s="154"/>
      <c r="F2" s="155"/>
      <c r="G2" s="156"/>
      <c r="H2" s="155"/>
      <c r="I2" s="154"/>
      <c r="J2" s="155"/>
      <c r="K2" s="156"/>
      <c r="L2" s="154"/>
      <c r="M2" s="153"/>
      <c r="N2" s="154"/>
      <c r="O2" s="155"/>
      <c r="P2" s="156"/>
      <c r="Q2" s="155"/>
      <c r="R2" s="154"/>
      <c r="S2" s="155"/>
      <c r="T2" s="156"/>
      <c r="U2" s="155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</row>
    <row r="3" spans="2:42" x14ac:dyDescent="0.2">
      <c r="B3" s="153"/>
      <c r="C3" s="153"/>
      <c r="D3" s="153"/>
      <c r="E3" s="154"/>
      <c r="F3" s="155"/>
      <c r="G3" s="156"/>
      <c r="H3" s="157"/>
      <c r="I3" s="157"/>
      <c r="J3" s="157"/>
      <c r="K3" s="157"/>
    </row>
    <row r="4" spans="2:42" x14ac:dyDescent="0.2">
      <c r="B4" s="153"/>
      <c r="C4" s="153"/>
      <c r="D4" s="153"/>
      <c r="E4" s="154"/>
      <c r="F4" s="155"/>
      <c r="G4" s="156"/>
      <c r="H4" s="157"/>
      <c r="I4" s="157"/>
      <c r="J4" s="157"/>
      <c r="K4" s="157"/>
    </row>
    <row r="5" spans="2:42" ht="7.5" customHeight="1" x14ac:dyDescent="0.2">
      <c r="B5" s="153"/>
      <c r="C5" s="153"/>
      <c r="D5" s="153"/>
      <c r="E5" s="154"/>
      <c r="F5" s="155"/>
      <c r="G5" s="156"/>
      <c r="H5" s="158"/>
    </row>
    <row r="6" spans="2:42" ht="23.25" x14ac:dyDescent="0.2">
      <c r="B6" s="68" t="s">
        <v>135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</row>
    <row r="7" spans="2:42" ht="5.25" customHeight="1" thickBo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70"/>
      <c r="M7" s="67"/>
      <c r="N7" s="67"/>
      <c r="O7" s="67"/>
      <c r="P7" s="67"/>
      <c r="Q7" s="67"/>
      <c r="R7" s="67"/>
      <c r="S7" s="67"/>
      <c r="T7" s="67"/>
      <c r="U7" s="71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38"/>
      <c r="AO7" s="38"/>
      <c r="AP7" s="38"/>
    </row>
    <row r="8" spans="2:42" ht="12.75" customHeight="1" thickTop="1" x14ac:dyDescent="0.2">
      <c r="B8" s="142"/>
      <c r="C8" s="142"/>
      <c r="D8" s="142"/>
      <c r="E8" s="3"/>
      <c r="F8" s="4"/>
      <c r="G8" s="57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770"/>
      <c r="AO8" s="770"/>
      <c r="AP8" s="770"/>
    </row>
    <row r="9" spans="2:42" x14ac:dyDescent="0.2">
      <c r="B9" s="221" t="s">
        <v>136</v>
      </c>
      <c r="C9" s="222" t="s">
        <v>59</v>
      </c>
      <c r="D9" s="478"/>
      <c r="E9" s="222">
        <v>1</v>
      </c>
      <c r="F9" s="222">
        <v>2</v>
      </c>
      <c r="G9" s="222">
        <v>3</v>
      </c>
      <c r="H9" s="222">
        <v>4</v>
      </c>
      <c r="I9" s="222">
        <v>5</v>
      </c>
      <c r="J9" s="222">
        <v>6</v>
      </c>
      <c r="K9" s="222">
        <v>7</v>
      </c>
      <c r="L9" s="222">
        <v>8</v>
      </c>
      <c r="M9" s="222">
        <v>9</v>
      </c>
      <c r="N9" s="222">
        <v>10</v>
      </c>
      <c r="O9" s="222">
        <v>11</v>
      </c>
      <c r="P9" s="222">
        <v>12</v>
      </c>
      <c r="Q9" s="222">
        <v>13</v>
      </c>
      <c r="R9" s="222">
        <v>14</v>
      </c>
      <c r="S9" s="222">
        <v>15</v>
      </c>
      <c r="T9" s="222">
        <v>16</v>
      </c>
      <c r="U9" s="222">
        <v>17</v>
      </c>
      <c r="V9" s="222">
        <v>18</v>
      </c>
      <c r="W9" s="222">
        <v>19</v>
      </c>
      <c r="X9" s="222">
        <v>20</v>
      </c>
      <c r="Y9" s="222">
        <v>21</v>
      </c>
      <c r="Z9" s="222">
        <v>22</v>
      </c>
      <c r="AA9" s="222">
        <v>23</v>
      </c>
      <c r="AB9" s="222">
        <v>24</v>
      </c>
      <c r="AC9" s="222">
        <v>25</v>
      </c>
      <c r="AD9" s="222">
        <v>26</v>
      </c>
      <c r="AE9" s="222">
        <v>27</v>
      </c>
      <c r="AF9" s="222">
        <v>28</v>
      </c>
      <c r="AG9" s="222">
        <v>29</v>
      </c>
      <c r="AH9" s="222">
        <v>30</v>
      </c>
      <c r="AI9" s="222">
        <v>31</v>
      </c>
      <c r="AJ9" s="222">
        <v>32</v>
      </c>
      <c r="AK9" s="222">
        <v>33</v>
      </c>
      <c r="AL9" s="222">
        <v>34</v>
      </c>
      <c r="AM9" s="222">
        <v>35</v>
      </c>
    </row>
    <row r="10" spans="2:42" x14ac:dyDescent="0.2">
      <c r="B10" s="224" t="s">
        <v>137</v>
      </c>
      <c r="C10" s="225">
        <f t="shared" ref="C10:C19" si="0">SUM(E10:AM10)</f>
        <v>11019864570.571331</v>
      </c>
      <c r="D10" s="478"/>
      <c r="E10" s="226">
        <f t="shared" ref="E10:AM10" si="1">SUM(E11:E16)</f>
        <v>0</v>
      </c>
      <c r="F10" s="226">
        <f t="shared" si="1"/>
        <v>0</v>
      </c>
      <c r="G10" s="226">
        <f t="shared" si="1"/>
        <v>11111573.079763928</v>
      </c>
      <c r="H10" s="226">
        <f t="shared" si="1"/>
        <v>52405680.259099782</v>
      </c>
      <c r="I10" s="226">
        <f t="shared" si="1"/>
        <v>106391990.23170969</v>
      </c>
      <c r="J10" s="226">
        <f t="shared" si="1"/>
        <v>220265397.40067187</v>
      </c>
      <c r="K10" s="226">
        <f t="shared" si="1"/>
        <v>289991202.21061331</v>
      </c>
      <c r="L10" s="226">
        <f t="shared" si="1"/>
        <v>343785300.08761996</v>
      </c>
      <c r="M10" s="226">
        <f t="shared" si="1"/>
        <v>365862167.42834085</v>
      </c>
      <c r="N10" s="226">
        <f t="shared" si="1"/>
        <v>365862167.42834085</v>
      </c>
      <c r="O10" s="226">
        <f t="shared" si="1"/>
        <v>384403113.48275536</v>
      </c>
      <c r="P10" s="226">
        <f t="shared" si="1"/>
        <v>384403113.48275536</v>
      </c>
      <c r="Q10" s="226">
        <f t="shared" si="1"/>
        <v>384403113.48275536</v>
      </c>
      <c r="R10" s="226">
        <f t="shared" si="1"/>
        <v>384403113.48275536</v>
      </c>
      <c r="S10" s="226">
        <f t="shared" si="1"/>
        <v>384403113.48275536</v>
      </c>
      <c r="T10" s="226">
        <f t="shared" si="1"/>
        <v>384403113.48275536</v>
      </c>
      <c r="U10" s="226">
        <f t="shared" si="1"/>
        <v>384403113.48275536</v>
      </c>
      <c r="V10" s="226">
        <f t="shared" si="1"/>
        <v>294907036.90426159</v>
      </c>
      <c r="W10" s="226">
        <f t="shared" si="1"/>
        <v>358602941.85334414</v>
      </c>
      <c r="X10" s="226">
        <f t="shared" si="1"/>
        <v>294907036.90426159</v>
      </c>
      <c r="Y10" s="226">
        <f t="shared" si="1"/>
        <v>384403113.48275536</v>
      </c>
      <c r="Z10" s="226">
        <f t="shared" si="1"/>
        <v>313447982.9586761</v>
      </c>
      <c r="AA10" s="226">
        <f t="shared" si="1"/>
        <v>377143887.90775865</v>
      </c>
      <c r="AB10" s="226">
        <f t="shared" si="1"/>
        <v>384403113.48275536</v>
      </c>
      <c r="AC10" s="226">
        <f t="shared" si="1"/>
        <v>377143887.90775865</v>
      </c>
      <c r="AD10" s="226">
        <f t="shared" si="1"/>
        <v>384403113.48275536</v>
      </c>
      <c r="AE10" s="226">
        <f t="shared" si="1"/>
        <v>384403113.48275536</v>
      </c>
      <c r="AF10" s="226">
        <f t="shared" si="1"/>
        <v>365862167.42834085</v>
      </c>
      <c r="AG10" s="226">
        <f t="shared" si="1"/>
        <v>365862167.42834085</v>
      </c>
      <c r="AH10" s="226">
        <f t="shared" si="1"/>
        <v>365862167.42834085</v>
      </c>
      <c r="AI10" s="226">
        <f t="shared" si="1"/>
        <v>384403113.48275536</v>
      </c>
      <c r="AJ10" s="226">
        <f t="shared" si="1"/>
        <v>384403113.48275536</v>
      </c>
      <c r="AK10" s="226">
        <f t="shared" si="1"/>
        <v>384403113.48275536</v>
      </c>
      <c r="AL10" s="226">
        <f t="shared" si="1"/>
        <v>384403113.48275536</v>
      </c>
      <c r="AM10" s="226">
        <f t="shared" si="1"/>
        <v>384403113.48275536</v>
      </c>
    </row>
    <row r="11" spans="2:42" x14ac:dyDescent="0.2">
      <c r="B11" s="144" t="s">
        <v>21</v>
      </c>
      <c r="C11" s="190">
        <f t="shared" si="0"/>
        <v>588155691.11010385</v>
      </c>
      <c r="D11" s="193"/>
      <c r="E11" s="145">
        <f>'Cronograma de Implantação'!C22*'Premissas Adotadas'!$F$34*'Premissas Adotadas'!$D$34*'Premissas Adotadas'!$G$17</f>
        <v>0</v>
      </c>
      <c r="F11" s="145">
        <f>'Cronograma de Implantação'!D22*'Premissas Adotadas'!$F$34*'Premissas Adotadas'!$D$34*'Premissas Adotadas'!$G$17</f>
        <v>0</v>
      </c>
      <c r="G11" s="145">
        <f>'Cronograma de Implantação'!E22*'Premissas Adotadas'!$F$34*'Premissas Adotadas'!$D$34*'Premissas Adotadas'!$G$17</f>
        <v>1567767.3541076491</v>
      </c>
      <c r="H11" s="145">
        <f>'Cronograma de Implantação'!F22*'Premissas Adotadas'!$F$34*'Premissas Adotadas'!$D$34*'Premissas Adotadas'!$G$17</f>
        <v>7217379.4409820596</v>
      </c>
      <c r="I11" s="145">
        <f>'Cronograma de Implantação'!G22*'Premissas Adotadas'!$F$34*'Premissas Adotadas'!$D$34*'Premissas Adotadas'!$G$17</f>
        <v>11464475.327289896</v>
      </c>
      <c r="J11" s="145">
        <f>'Cronograma de Implantação'!H22*'Premissas Adotadas'!$F$34*'Premissas Adotadas'!$D$34*'Premissas Adotadas'!$G$17</f>
        <v>17203068.80453258</v>
      </c>
      <c r="K11" s="145">
        <f>'Cronograma de Implantação'!I22*'Premissas Adotadas'!$F$34*'Premissas Adotadas'!$D$34*'Premissas Adotadas'!$G$17</f>
        <v>18989758.627006613</v>
      </c>
      <c r="L11" s="145">
        <f>'Cronograma de Implantação'!J22*'Premissas Adotadas'!$F$34*'Premissas Adotadas'!$D$34*'Premissas Adotadas'!$G$17</f>
        <v>18989758.627006613</v>
      </c>
      <c r="M11" s="145">
        <f>'Cronograma de Implantação'!K22*'Premissas Adotadas'!$F$34*'Premissas Adotadas'!$D$34*'Premissas Adotadas'!$G$17</f>
        <v>18989758.627006613</v>
      </c>
      <c r="N11" s="145">
        <f>'Cronograma de Implantação'!L22*'Premissas Adotadas'!$F$34*'Premissas Adotadas'!$D$34*'Premissas Adotadas'!$G$17</f>
        <v>18989758.627006613</v>
      </c>
      <c r="O11" s="145">
        <f>'Cronograma de Implantação'!M22*'Premissas Adotadas'!$F$34*'Premissas Adotadas'!$D$34*'Premissas Adotadas'!$G$17</f>
        <v>18989758.627006613</v>
      </c>
      <c r="P11" s="145">
        <f>'Cronograma de Implantação'!N22*'Premissas Adotadas'!$F$34*'Premissas Adotadas'!$D$34*'Premissas Adotadas'!$G$17</f>
        <v>18989758.627006613</v>
      </c>
      <c r="Q11" s="145">
        <f>'Cronograma de Implantação'!O22*'Premissas Adotadas'!$F$34*'Premissas Adotadas'!$D$34*'Premissas Adotadas'!$G$17</f>
        <v>18989758.627006613</v>
      </c>
      <c r="R11" s="145">
        <f>'Cronograma de Implantação'!P22*'Premissas Adotadas'!$F$34*'Premissas Adotadas'!$D$34*'Premissas Adotadas'!$G$17</f>
        <v>18989758.627006613</v>
      </c>
      <c r="S11" s="145">
        <f>'Cronograma de Implantação'!Q22*'Premissas Adotadas'!$F$34*'Premissas Adotadas'!$D$34*'Premissas Adotadas'!$G$17</f>
        <v>18989758.627006613</v>
      </c>
      <c r="T11" s="145">
        <f>'Cronograma de Implantação'!R22*'Premissas Adotadas'!$F$34*'Premissas Adotadas'!$D$34*'Premissas Adotadas'!$G$17</f>
        <v>18989758.627006613</v>
      </c>
      <c r="U11" s="145">
        <f>'Cronograma de Implantação'!S22*'Premissas Adotadas'!$F$34*'Premissas Adotadas'!$D$34*'Premissas Adotadas'!$G$17</f>
        <v>18989758.627006613</v>
      </c>
      <c r="V11" s="145">
        <f>'Cronograma de Implantação'!T22*'Premissas Adotadas'!$F$34*'Premissas Adotadas'!$D$34*'Premissas Adotadas'!$G$17</f>
        <v>18989758.627006613</v>
      </c>
      <c r="W11" s="145">
        <f>'Cronograma de Implantação'!U22*'Premissas Adotadas'!$F$34*'Premissas Adotadas'!$D$34*'Premissas Adotadas'!$G$17</f>
        <v>18989758.627006613</v>
      </c>
      <c r="X11" s="145">
        <f>'Cronograma de Implantação'!V22*'Premissas Adotadas'!$F$34*'Premissas Adotadas'!$D$34*'Premissas Adotadas'!$G$17</f>
        <v>18989758.627006613</v>
      </c>
      <c r="Y11" s="145">
        <f>'Cronograma de Implantação'!W22*'Premissas Adotadas'!$F$34*'Premissas Adotadas'!$D$34*'Premissas Adotadas'!$G$17</f>
        <v>18989758.627006613</v>
      </c>
      <c r="Z11" s="145">
        <f>'Cronograma de Implantação'!X22*'Premissas Adotadas'!$F$34*'Premissas Adotadas'!$D$34*'Premissas Adotadas'!$G$17</f>
        <v>18989758.627006613</v>
      </c>
      <c r="AA11" s="145">
        <f>'Cronograma de Implantação'!Y22*'Premissas Adotadas'!$F$34*'Premissas Adotadas'!$D$34*'Premissas Adotadas'!$G$17</f>
        <v>18989758.627006613</v>
      </c>
      <c r="AB11" s="145">
        <f>'Cronograma de Implantação'!Z22*'Premissas Adotadas'!$F$34*'Premissas Adotadas'!$D$34*'Premissas Adotadas'!$G$17</f>
        <v>18989758.627006613</v>
      </c>
      <c r="AC11" s="145">
        <f>'Cronograma de Implantação'!AA22*'Premissas Adotadas'!$F$34*'Premissas Adotadas'!$D$34*'Premissas Adotadas'!$G$17</f>
        <v>18989758.627006613</v>
      </c>
      <c r="AD11" s="145">
        <f>'Cronograma de Implantação'!AB22*'Premissas Adotadas'!$F$34*'Premissas Adotadas'!$D$34*'Premissas Adotadas'!$G$17</f>
        <v>18989758.627006613</v>
      </c>
      <c r="AE11" s="145">
        <f>'Cronograma de Implantação'!AC22*'Premissas Adotadas'!$F$34*'Premissas Adotadas'!$D$34*'Premissas Adotadas'!$G$17</f>
        <v>18989758.627006613</v>
      </c>
      <c r="AF11" s="145">
        <f>'Cronograma de Implantação'!AD22*'Premissas Adotadas'!$F$34*'Premissas Adotadas'!$D$34*'Premissas Adotadas'!$G$17</f>
        <v>18989758.627006613</v>
      </c>
      <c r="AG11" s="145">
        <f>'Cronograma de Implantação'!AE22*'Premissas Adotadas'!$F$34*'Premissas Adotadas'!$D$34*'Premissas Adotadas'!$G$17</f>
        <v>18989758.627006613</v>
      </c>
      <c r="AH11" s="145">
        <f>'Cronograma de Implantação'!AF22*'Premissas Adotadas'!$F$34*'Premissas Adotadas'!$D$34*'Premissas Adotadas'!$G$17</f>
        <v>18989758.627006613</v>
      </c>
      <c r="AI11" s="145">
        <f>'Cronograma de Implantação'!AG22*'Premissas Adotadas'!$F$34*'Premissas Adotadas'!$D$34*'Premissas Adotadas'!$G$17</f>
        <v>18989758.627006613</v>
      </c>
      <c r="AJ11" s="145">
        <f>'Cronograma de Implantação'!AH22*'Premissas Adotadas'!$F$34*'Premissas Adotadas'!$D$34*'Premissas Adotadas'!$G$17</f>
        <v>18989758.627006613</v>
      </c>
      <c r="AK11" s="145">
        <f>'Cronograma de Implantação'!AI22*'Premissas Adotadas'!$F$34*'Premissas Adotadas'!$D$34*'Premissas Adotadas'!$G$17</f>
        <v>18989758.627006613</v>
      </c>
      <c r="AL11" s="145">
        <f>'Cronograma de Implantação'!AJ22*'Premissas Adotadas'!$F$34*'Premissas Adotadas'!$D$34*'Premissas Adotadas'!$G$17</f>
        <v>18989758.627006613</v>
      </c>
      <c r="AM11" s="145">
        <f>'Cronograma de Implantação'!AK22*'Premissas Adotadas'!$F$34*'Premissas Adotadas'!$D$34*'Premissas Adotadas'!$G$17</f>
        <v>18989758.627006613</v>
      </c>
    </row>
    <row r="12" spans="2:42" x14ac:dyDescent="0.2">
      <c r="B12" s="144" t="s">
        <v>22</v>
      </c>
      <c r="C12" s="190">
        <f t="shared" si="0"/>
        <v>607130714.00187039</v>
      </c>
      <c r="D12" s="193"/>
      <c r="E12" s="145">
        <f>'Cronograma de Implantação'!C26*'Premissas Adotadas'!$F$35*'Premissas Adotadas'!$D$35*'Premissas Adotadas'!$G$18</f>
        <v>0</v>
      </c>
      <c r="F12" s="145">
        <f>'Cronograma de Implantação'!D26*'Premissas Adotadas'!$F$35*'Premissas Adotadas'!$D$35*'Premissas Adotadas'!$G$18</f>
        <v>0</v>
      </c>
      <c r="G12" s="145">
        <f>'Cronograma de Implantação'!E26*'Premissas Adotadas'!$F$35*'Premissas Adotadas'!$D$35*'Premissas Adotadas'!$G$18</f>
        <v>1618346.5151746934</v>
      </c>
      <c r="H12" s="145">
        <f>'Cronograma de Implantação'!F26*'Premissas Adotadas'!$F$35*'Premissas Adotadas'!$D$35*'Premissas Adotadas'!$G$18</f>
        <v>7450225.8491375521</v>
      </c>
      <c r="I12" s="145">
        <f>'Cronograma de Implantação'!G26*'Premissas Adotadas'!$F$35*'Premissas Adotadas'!$D$35*'Premissas Adotadas'!$G$18</f>
        <v>11834341.138444129</v>
      </c>
      <c r="J12" s="145">
        <f>'Cronograma de Implantação'!H26*'Premissas Adotadas'!$F$35*'Premissas Adotadas'!$D$35*'Premissas Adotadas'!$G$18</f>
        <v>17758072.571916904</v>
      </c>
      <c r="K12" s="145">
        <f>'Cronograma de Implantação'!I26*'Premissas Adotadas'!$F$35*'Premissas Adotadas'!$D$35*'Premissas Adotadas'!$G$18</f>
        <v>19602404.411282659</v>
      </c>
      <c r="L12" s="145">
        <f>'Cronograma de Implantação'!J26*'Premissas Adotadas'!$F$35*'Premissas Adotadas'!$D$35*'Premissas Adotadas'!$G$18</f>
        <v>19602404.411282659</v>
      </c>
      <c r="M12" s="145">
        <f>'Cronograma de Implantação'!K26*'Premissas Adotadas'!$F$35*'Premissas Adotadas'!$D$35*'Premissas Adotadas'!$G$18</f>
        <v>19602404.411282659</v>
      </c>
      <c r="N12" s="145">
        <f>'Cronograma de Implantação'!L26*'Premissas Adotadas'!$F$35*'Premissas Adotadas'!$D$35*'Premissas Adotadas'!$G$18</f>
        <v>19602404.411282659</v>
      </c>
      <c r="O12" s="145">
        <f>'Cronograma de Implantação'!M26*'Premissas Adotadas'!$F$35*'Premissas Adotadas'!$D$35*'Premissas Adotadas'!$G$18</f>
        <v>19602404.411282659</v>
      </c>
      <c r="P12" s="145">
        <f>'Cronograma de Implantação'!N26*'Premissas Adotadas'!$F$35*'Premissas Adotadas'!$D$35*'Premissas Adotadas'!$G$18</f>
        <v>19602404.411282659</v>
      </c>
      <c r="Q12" s="145">
        <f>'Cronograma de Implantação'!O26*'Premissas Adotadas'!$F$35*'Premissas Adotadas'!$D$35*'Premissas Adotadas'!$G$18</f>
        <v>19602404.411282659</v>
      </c>
      <c r="R12" s="145">
        <f>'Cronograma de Implantação'!P26*'Premissas Adotadas'!$F$35*'Premissas Adotadas'!$D$35*'Premissas Adotadas'!$G$18</f>
        <v>19602404.411282659</v>
      </c>
      <c r="S12" s="145">
        <f>'Cronograma de Implantação'!Q26*'Premissas Adotadas'!$F$35*'Premissas Adotadas'!$D$35*'Premissas Adotadas'!$G$18</f>
        <v>19602404.411282659</v>
      </c>
      <c r="T12" s="145">
        <f>'Cronograma de Implantação'!R26*'Premissas Adotadas'!$F$35*'Premissas Adotadas'!$D$35*'Premissas Adotadas'!$G$18</f>
        <v>19602404.411282659</v>
      </c>
      <c r="U12" s="145">
        <f>'Cronograma de Implantação'!S26*'Premissas Adotadas'!$F$35*'Premissas Adotadas'!$D$35*'Premissas Adotadas'!$G$18</f>
        <v>19602404.411282659</v>
      </c>
      <c r="V12" s="145">
        <f>'Cronograma de Implantação'!T26*'Premissas Adotadas'!$F$35*'Premissas Adotadas'!$D$35*'Premissas Adotadas'!$G$18</f>
        <v>19602404.411282659</v>
      </c>
      <c r="W12" s="145">
        <f>'Cronograma de Implantação'!U26*'Premissas Adotadas'!$F$35*'Premissas Adotadas'!$D$35*'Premissas Adotadas'!$G$18</f>
        <v>19602404.411282659</v>
      </c>
      <c r="X12" s="145">
        <f>'Cronograma de Implantação'!V26*'Premissas Adotadas'!$F$35*'Premissas Adotadas'!$D$35*'Premissas Adotadas'!$G$18</f>
        <v>19602404.411282659</v>
      </c>
      <c r="Y12" s="145">
        <f>'Cronograma de Implantação'!W26*'Premissas Adotadas'!$F$35*'Premissas Adotadas'!$D$35*'Premissas Adotadas'!$G$18</f>
        <v>19602404.411282659</v>
      </c>
      <c r="Z12" s="145">
        <f>'Cronograma de Implantação'!X26*'Premissas Adotadas'!$F$35*'Premissas Adotadas'!$D$35*'Premissas Adotadas'!$G$18</f>
        <v>19602404.411282659</v>
      </c>
      <c r="AA12" s="145">
        <f>'Cronograma de Implantação'!Y26*'Premissas Adotadas'!$F$35*'Premissas Adotadas'!$D$35*'Premissas Adotadas'!$G$18</f>
        <v>19602404.411282659</v>
      </c>
      <c r="AB12" s="145">
        <f>'Cronograma de Implantação'!Z26*'Premissas Adotadas'!$F$35*'Premissas Adotadas'!$D$35*'Premissas Adotadas'!$G$18</f>
        <v>19602404.411282659</v>
      </c>
      <c r="AC12" s="145">
        <f>'Cronograma de Implantação'!AA26*'Premissas Adotadas'!$F$35*'Premissas Adotadas'!$D$35*'Premissas Adotadas'!$G$18</f>
        <v>19602404.411282659</v>
      </c>
      <c r="AD12" s="145">
        <f>'Cronograma de Implantação'!AB26*'Premissas Adotadas'!$F$35*'Premissas Adotadas'!$D$35*'Premissas Adotadas'!$G$18</f>
        <v>19602404.411282659</v>
      </c>
      <c r="AE12" s="145">
        <f>'Cronograma de Implantação'!AC26*'Premissas Adotadas'!$F$35*'Premissas Adotadas'!$D$35*'Premissas Adotadas'!$G$18</f>
        <v>19602404.411282659</v>
      </c>
      <c r="AF12" s="145">
        <f>'Cronograma de Implantação'!AD26*'Premissas Adotadas'!$F$35*'Premissas Adotadas'!$D$35*'Premissas Adotadas'!$G$18</f>
        <v>19602404.411282659</v>
      </c>
      <c r="AG12" s="145">
        <f>'Cronograma de Implantação'!AE26*'Premissas Adotadas'!$F$35*'Premissas Adotadas'!$D$35*'Premissas Adotadas'!$G$18</f>
        <v>19602404.411282659</v>
      </c>
      <c r="AH12" s="145">
        <f>'Cronograma de Implantação'!AF26*'Premissas Adotadas'!$F$35*'Premissas Adotadas'!$D$35*'Premissas Adotadas'!$G$18</f>
        <v>19602404.411282659</v>
      </c>
      <c r="AI12" s="145">
        <f>'Cronograma de Implantação'!AG26*'Premissas Adotadas'!$F$35*'Premissas Adotadas'!$D$35*'Premissas Adotadas'!$G$18</f>
        <v>19602404.411282659</v>
      </c>
      <c r="AJ12" s="145">
        <f>'Cronograma de Implantação'!AH26*'Premissas Adotadas'!$F$35*'Premissas Adotadas'!$D$35*'Premissas Adotadas'!$G$18</f>
        <v>19602404.411282659</v>
      </c>
      <c r="AK12" s="145">
        <f>'Cronograma de Implantação'!AI26*'Premissas Adotadas'!$F$35*'Premissas Adotadas'!$D$35*'Premissas Adotadas'!$G$18</f>
        <v>19602404.411282659</v>
      </c>
      <c r="AL12" s="145">
        <f>'Cronograma de Implantação'!AJ26*'Premissas Adotadas'!$F$35*'Premissas Adotadas'!$D$35*'Premissas Adotadas'!$G$18</f>
        <v>19602404.411282659</v>
      </c>
      <c r="AM12" s="145">
        <f>'Cronograma de Implantação'!AK26*'Premissas Adotadas'!$F$35*'Premissas Adotadas'!$D$35*'Premissas Adotadas'!$G$18</f>
        <v>19602404.411282659</v>
      </c>
    </row>
    <row r="13" spans="2:42" x14ac:dyDescent="0.2">
      <c r="B13" s="144" t="s">
        <v>107</v>
      </c>
      <c r="C13" s="190">
        <f t="shared" ref="C13" si="2">SUM(E13:AM13)</f>
        <v>1720355396.4970531</v>
      </c>
      <c r="D13" s="193"/>
      <c r="E13" s="145">
        <f>'Cronograma de Implantação'!C30*'Premissas Adotadas'!$F$36*'Premissas Adotadas'!$D$36*'Premissas Adotadas'!$G$19</f>
        <v>0</v>
      </c>
      <c r="F13" s="145">
        <f>'Cronograma de Implantação'!D30*'Premissas Adotadas'!$F$36*'Premissas Adotadas'!$D$36*'Premissas Adotadas'!$G$19</f>
        <v>0</v>
      </c>
      <c r="G13" s="145">
        <f>'Cronograma de Implantação'!E30*'Premissas Adotadas'!$F$36*'Premissas Adotadas'!$D$36*'Premissas Adotadas'!$G$19</f>
        <v>4585719.5107648727</v>
      </c>
      <c r="H13" s="145">
        <f>'Cronograma de Implantação'!F30*'Premissas Adotadas'!$F$36*'Premissas Adotadas'!$D$36*'Premissas Adotadas'!$G$19</f>
        <v>21110834.864872523</v>
      </c>
      <c r="I13" s="145">
        <f>'Cronograma de Implantação'!G30*'Premissas Adotadas'!$F$36*'Premissas Adotadas'!$D$36*'Premissas Adotadas'!$G$19</f>
        <v>33533590.332322948</v>
      </c>
      <c r="J13" s="145">
        <f>'Cronograma de Implantação'!H30*'Premissas Adotadas'!$F$36*'Premissas Adotadas'!$D$36*'Premissas Adotadas'!$G$19</f>
        <v>50318976.253257796</v>
      </c>
      <c r="K13" s="145">
        <f>'Cronograma de Implantação'!I30*'Premissas Adotadas'!$F$36*'Premissas Adotadas'!$D$36*'Premissas Adotadas'!$G$19</f>
        <v>55545043.983994342</v>
      </c>
      <c r="L13" s="145">
        <f>'Cronograma de Implantação'!J30*'Premissas Adotadas'!$F$36*'Premissas Adotadas'!$D$36*'Premissas Adotadas'!$G$19</f>
        <v>55545043.983994342</v>
      </c>
      <c r="M13" s="145">
        <f>'Cronograma de Implantação'!K30*'Premissas Adotadas'!$F$36*'Premissas Adotadas'!$D$36*'Premissas Adotadas'!$G$19</f>
        <v>55545043.983994342</v>
      </c>
      <c r="N13" s="145">
        <f>'Cronograma de Implantação'!L30*'Premissas Adotadas'!$F$36*'Premissas Adotadas'!$D$36*'Premissas Adotadas'!$G$19</f>
        <v>55545043.983994342</v>
      </c>
      <c r="O13" s="145">
        <f>'Cronograma de Implantação'!M30*'Premissas Adotadas'!$F$36*'Premissas Adotadas'!$D$36*'Premissas Adotadas'!$G$19</f>
        <v>55545043.983994342</v>
      </c>
      <c r="P13" s="145">
        <f>'Cronograma de Implantação'!N30*'Premissas Adotadas'!$F$36*'Premissas Adotadas'!$D$36*'Premissas Adotadas'!$G$19</f>
        <v>55545043.983994342</v>
      </c>
      <c r="Q13" s="145">
        <f>'Cronograma de Implantação'!O30*'Premissas Adotadas'!$F$36*'Premissas Adotadas'!$D$36*'Premissas Adotadas'!$G$19</f>
        <v>55545043.983994342</v>
      </c>
      <c r="R13" s="145">
        <f>'Cronograma de Implantação'!P30*'Premissas Adotadas'!$F$36*'Premissas Adotadas'!$D$36*'Premissas Adotadas'!$G$19</f>
        <v>55545043.983994342</v>
      </c>
      <c r="S13" s="145">
        <f>'Cronograma de Implantação'!Q30*'Premissas Adotadas'!$F$36*'Premissas Adotadas'!$D$36*'Premissas Adotadas'!$G$19</f>
        <v>55545043.983994342</v>
      </c>
      <c r="T13" s="145">
        <f>'Cronograma de Implantação'!R30*'Premissas Adotadas'!$F$36*'Premissas Adotadas'!$D$36*'Premissas Adotadas'!$G$19</f>
        <v>55545043.983994342</v>
      </c>
      <c r="U13" s="145">
        <f>'Cronograma de Implantação'!S30*'Premissas Adotadas'!$F$36*'Premissas Adotadas'!$D$36*'Premissas Adotadas'!$G$19</f>
        <v>55545043.983994342</v>
      </c>
      <c r="V13" s="145">
        <f>'Cronograma de Implantação'!T30*'Premissas Adotadas'!$F$36*'Premissas Adotadas'!$D$36*'Premissas Adotadas'!$G$19</f>
        <v>55545043.983994342</v>
      </c>
      <c r="W13" s="145">
        <f>'Cronograma de Implantação'!U30*'Premissas Adotadas'!$F$36*'Premissas Adotadas'!$D$36*'Premissas Adotadas'!$G$19</f>
        <v>55545043.983994342</v>
      </c>
      <c r="X13" s="145">
        <f>'Cronograma de Implantação'!V30*'Premissas Adotadas'!$F$36*'Premissas Adotadas'!$D$36*'Premissas Adotadas'!$G$19</f>
        <v>55545043.983994342</v>
      </c>
      <c r="Y13" s="145">
        <f>'Cronograma de Implantação'!W30*'Premissas Adotadas'!$F$36*'Premissas Adotadas'!$D$36*'Premissas Adotadas'!$G$19</f>
        <v>55545043.983994342</v>
      </c>
      <c r="Z13" s="145">
        <f>'Cronograma de Implantação'!X30*'Premissas Adotadas'!$F$36*'Premissas Adotadas'!$D$36*'Premissas Adotadas'!$G$19</f>
        <v>55545043.983994342</v>
      </c>
      <c r="AA13" s="145">
        <f>'Cronograma de Implantação'!Y30*'Premissas Adotadas'!$F$36*'Premissas Adotadas'!$D$36*'Premissas Adotadas'!$G$19</f>
        <v>55545043.983994342</v>
      </c>
      <c r="AB13" s="145">
        <f>'Cronograma de Implantação'!Z30*'Premissas Adotadas'!$F$36*'Premissas Adotadas'!$D$36*'Premissas Adotadas'!$G$19</f>
        <v>55545043.983994342</v>
      </c>
      <c r="AC13" s="145">
        <f>'Cronograma de Implantação'!AA30*'Premissas Adotadas'!$F$36*'Premissas Adotadas'!$D$36*'Premissas Adotadas'!$G$19</f>
        <v>55545043.983994342</v>
      </c>
      <c r="AD13" s="145">
        <f>'Cronograma de Implantação'!AB30*'Premissas Adotadas'!$F$36*'Premissas Adotadas'!$D$36*'Premissas Adotadas'!$G$19</f>
        <v>55545043.983994342</v>
      </c>
      <c r="AE13" s="145">
        <f>'Cronograma de Implantação'!AC30*'Premissas Adotadas'!$F$36*'Premissas Adotadas'!$D$36*'Premissas Adotadas'!$G$19</f>
        <v>55545043.983994342</v>
      </c>
      <c r="AF13" s="145">
        <f>'Cronograma de Implantação'!AD30*'Premissas Adotadas'!$F$36*'Premissas Adotadas'!$D$36*'Premissas Adotadas'!$G$19</f>
        <v>55545043.983994342</v>
      </c>
      <c r="AG13" s="145">
        <f>'Cronograma de Implantação'!AE30*'Premissas Adotadas'!$F$36*'Premissas Adotadas'!$D$36*'Premissas Adotadas'!$G$19</f>
        <v>55545043.983994342</v>
      </c>
      <c r="AH13" s="145">
        <f>'Cronograma de Implantação'!AF30*'Premissas Adotadas'!$F$36*'Premissas Adotadas'!$D$36*'Premissas Adotadas'!$G$19</f>
        <v>55545043.983994342</v>
      </c>
      <c r="AI13" s="145">
        <f>'Cronograma de Implantação'!AG30*'Premissas Adotadas'!$F$36*'Premissas Adotadas'!$D$36*'Premissas Adotadas'!$G$19</f>
        <v>55545043.983994342</v>
      </c>
      <c r="AJ13" s="145">
        <f>'Cronograma de Implantação'!AH30*'Premissas Adotadas'!$F$36*'Premissas Adotadas'!$D$36*'Premissas Adotadas'!$G$19</f>
        <v>55545043.983994342</v>
      </c>
      <c r="AK13" s="145">
        <f>'Cronograma de Implantação'!AI30*'Premissas Adotadas'!$F$36*'Premissas Adotadas'!$D$36*'Premissas Adotadas'!$G$19</f>
        <v>55545043.983994342</v>
      </c>
      <c r="AL13" s="145">
        <f>'Cronograma de Implantação'!AJ30*'Premissas Adotadas'!$F$36*'Premissas Adotadas'!$D$36*'Premissas Adotadas'!$G$19</f>
        <v>55545043.983994342</v>
      </c>
      <c r="AM13" s="145">
        <f>'Cronograma de Implantação'!AK30*'Premissas Adotadas'!$F$36*'Premissas Adotadas'!$D$36*'Premissas Adotadas'!$G$19</f>
        <v>55545043.983994342</v>
      </c>
    </row>
    <row r="14" spans="2:42" x14ac:dyDescent="0.2">
      <c r="B14" s="144" t="s">
        <v>205</v>
      </c>
      <c r="C14" s="190">
        <f t="shared" si="0"/>
        <v>5954325512.8470249</v>
      </c>
      <c r="D14" s="193"/>
      <c r="E14" s="145">
        <f>'Premissas Adotadas'!$D$38*'Cronograma de Implantação'!C54</f>
        <v>0</v>
      </c>
      <c r="F14" s="145">
        <f>'Premissas Adotadas'!$D$38*'Cronograma de Implantação'!D54</f>
        <v>0</v>
      </c>
      <c r="G14" s="145">
        <f>'Premissas Adotadas'!$D$38*'Cronograma de Implantação'!E54</f>
        <v>0</v>
      </c>
      <c r="H14" s="145">
        <f>'Premissas Adotadas'!$D$38*'Cronograma de Implantação'!F54</f>
        <v>0</v>
      </c>
      <c r="I14" s="145">
        <f>'Premissas Adotadas'!$D$38*'Cronograma de Implantação'!G54</f>
        <v>17573862.747875351</v>
      </c>
      <c r="J14" s="145">
        <f>'Premissas Adotadas'!$D$38*'Cronograma de Implantação'!H54</f>
        <v>80903097.875354126</v>
      </c>
      <c r="K14" s="145">
        <f>'Premissas Adotadas'!$D$38*'Cronograma de Implantação'!I54</f>
        <v>128510850.38243625</v>
      </c>
      <c r="L14" s="145">
        <f>'Premissas Adotadas'!$D$38*'Cronograma de Implantação'!J54</f>
        <v>192837520.96317279</v>
      </c>
      <c r="M14" s="145">
        <f>'Premissas Adotadas'!$D$38*'Cronograma de Implantação'!K54</f>
        <v>212865391.57223794</v>
      </c>
      <c r="N14" s="145">
        <f>'Premissas Adotadas'!$D$38*'Cronograma de Implantação'!L54</f>
        <v>212865391.57223794</v>
      </c>
      <c r="O14" s="145">
        <f>'Premissas Adotadas'!$D$38*'Cronograma de Implantação'!M54</f>
        <v>212865391.57223794</v>
      </c>
      <c r="P14" s="145">
        <f>'Premissas Adotadas'!$D$38*'Cronograma de Implantação'!N54</f>
        <v>212865391.57223794</v>
      </c>
      <c r="Q14" s="145">
        <f>'Premissas Adotadas'!$D$38*'Cronograma de Implantação'!O54</f>
        <v>212865391.57223794</v>
      </c>
      <c r="R14" s="145">
        <f>'Premissas Adotadas'!$D$38*'Cronograma de Implantação'!P54</f>
        <v>212865391.57223794</v>
      </c>
      <c r="S14" s="145">
        <f>'Premissas Adotadas'!$D$38*'Cronograma de Implantação'!Q54</f>
        <v>212865391.57223794</v>
      </c>
      <c r="T14" s="145">
        <f>'Premissas Adotadas'!$D$38*'Cronograma de Implantação'!R54</f>
        <v>212865391.57223794</v>
      </c>
      <c r="U14" s="145">
        <f>'Premissas Adotadas'!$D$38*'Cronograma de Implantação'!S54</f>
        <v>212865391.57223794</v>
      </c>
      <c r="V14" s="145">
        <f>'Premissas Adotadas'!$D$38*'Cronograma de Implantação'!T54</f>
        <v>141910261.04815862</v>
      </c>
      <c r="W14" s="145">
        <f>'Premissas Adotadas'!$D$38*'Cronograma de Implantação'!U54</f>
        <v>212865391.57223794</v>
      </c>
      <c r="X14" s="145">
        <f>'Premissas Adotadas'!$D$38*'Cronograma de Implantação'!V54</f>
        <v>141910261.04815862</v>
      </c>
      <c r="Y14" s="145">
        <f>'Premissas Adotadas'!$D$38*'Cronograma de Implantação'!W54</f>
        <v>212865391.57223794</v>
      </c>
      <c r="Z14" s="145">
        <f>'Premissas Adotadas'!$D$38*'Cronograma de Implantação'!X54</f>
        <v>141910261.04815862</v>
      </c>
      <c r="AA14" s="145">
        <f>'Premissas Adotadas'!$D$38*'Cronograma de Implantação'!Y54</f>
        <v>212865391.57223794</v>
      </c>
      <c r="AB14" s="145">
        <f>'Premissas Adotadas'!$D$38*'Cronograma de Implantação'!Z54</f>
        <v>212865391.57223794</v>
      </c>
      <c r="AC14" s="145">
        <f>'Premissas Adotadas'!$D$38*'Cronograma de Implantação'!AA54</f>
        <v>212865391.57223794</v>
      </c>
      <c r="AD14" s="145">
        <f>'Premissas Adotadas'!$D$38*'Cronograma de Implantação'!AB54</f>
        <v>212865391.57223794</v>
      </c>
      <c r="AE14" s="145">
        <f>'Premissas Adotadas'!$D$38*'Cronograma de Implantação'!AC54</f>
        <v>212865391.57223794</v>
      </c>
      <c r="AF14" s="145">
        <f>'Premissas Adotadas'!$D$38*'Cronograma de Implantação'!AD54</f>
        <v>212865391.57223794</v>
      </c>
      <c r="AG14" s="145">
        <f>'Premissas Adotadas'!$D$38*'Cronograma de Implantação'!AE54</f>
        <v>212865391.57223794</v>
      </c>
      <c r="AH14" s="145">
        <f>'Premissas Adotadas'!$D$38*'Cronograma de Implantação'!AF54</f>
        <v>212865391.57223794</v>
      </c>
      <c r="AI14" s="145">
        <f>'Premissas Adotadas'!$D$38*'Cronograma de Implantação'!AG54</f>
        <v>212865391.57223794</v>
      </c>
      <c r="AJ14" s="145">
        <f>'Premissas Adotadas'!$D$38*'Cronograma de Implantação'!AH54</f>
        <v>212865391.57223794</v>
      </c>
      <c r="AK14" s="145">
        <f>'Premissas Adotadas'!$D$38*'Cronograma de Implantação'!AI54</f>
        <v>212865391.57223794</v>
      </c>
      <c r="AL14" s="145">
        <f>'Premissas Adotadas'!$D$38*'Cronograma de Implantação'!AJ54</f>
        <v>212865391.57223794</v>
      </c>
      <c r="AM14" s="145">
        <f>'Premissas Adotadas'!$D$38*'Cronograma de Implantação'!AK54</f>
        <v>212865391.57223794</v>
      </c>
    </row>
    <row r="15" spans="2:42" x14ac:dyDescent="0.2">
      <c r="B15" s="144" t="s">
        <v>206</v>
      </c>
      <c r="C15" s="190">
        <f t="shared" ref="C15" si="3">SUM(E15:AM15)</f>
        <v>609170777.72193491</v>
      </c>
      <c r="D15" s="193"/>
      <c r="E15" s="145">
        <f>'Premissas Adotadas'!$D$39*'Cronograma de Implantação'!C60</f>
        <v>0</v>
      </c>
      <c r="F15" s="145">
        <f>'Premissas Adotadas'!$D$39*'Cronograma de Implantação'!D60</f>
        <v>0</v>
      </c>
      <c r="G15" s="145">
        <f>'Premissas Adotadas'!$D$39*'Cronograma de Implantação'!E60</f>
        <v>0</v>
      </c>
      <c r="H15" s="145">
        <f>'Premissas Adotadas'!$D$39*'Cronograma de Implantação'!F60</f>
        <v>0</v>
      </c>
      <c r="I15" s="145">
        <f>'Premissas Adotadas'!$D$39*'Cronograma de Implantação'!G60</f>
        <v>1797933.8910181634</v>
      </c>
      <c r="J15" s="145">
        <f>'Premissas Adotadas'!$D$39*'Cronograma de Implantação'!H60</f>
        <v>8276974.9397322694</v>
      </c>
      <c r="K15" s="145">
        <f>'Premissas Adotadas'!$D$39*'Cronograma de Implantação'!I60</f>
        <v>13147594.048103096</v>
      </c>
      <c r="L15" s="145">
        <f>'Premissas Adotadas'!$D$39*'Cronograma de Implantação'!J60</f>
        <v>19728679.993334446</v>
      </c>
      <c r="M15" s="145">
        <f>'Premissas Adotadas'!$D$39*'Cronograma de Implantação'!K60</f>
        <v>21777676.724990278</v>
      </c>
      <c r="N15" s="145">
        <f>'Premissas Adotadas'!$D$39*'Cronograma de Implantação'!L60</f>
        <v>21777676.724990278</v>
      </c>
      <c r="O15" s="145">
        <f>'Premissas Adotadas'!$D$39*'Cronograma de Implantação'!M60</f>
        <v>21777676.724990278</v>
      </c>
      <c r="P15" s="145">
        <f>'Premissas Adotadas'!$D$39*'Cronograma de Implantação'!N60</f>
        <v>21777676.724990278</v>
      </c>
      <c r="Q15" s="145">
        <f>'Premissas Adotadas'!$D$39*'Cronograma de Implantação'!O60</f>
        <v>21777676.724990278</v>
      </c>
      <c r="R15" s="145">
        <f>'Premissas Adotadas'!$D$39*'Cronograma de Implantação'!P60</f>
        <v>21777676.724990278</v>
      </c>
      <c r="S15" s="145">
        <f>'Premissas Adotadas'!$D$39*'Cronograma de Implantação'!Q60</f>
        <v>21777676.724990278</v>
      </c>
      <c r="T15" s="145">
        <f>'Premissas Adotadas'!$D$39*'Cronograma de Implantação'!R60</f>
        <v>21777676.724990278</v>
      </c>
      <c r="U15" s="145">
        <f>'Premissas Adotadas'!$D$39*'Cronograma de Implantação'!S60</f>
        <v>21777676.724990278</v>
      </c>
      <c r="V15" s="145">
        <f>'Premissas Adotadas'!$D$39*'Cronograma de Implantação'!T60</f>
        <v>21777676.724990278</v>
      </c>
      <c r="W15" s="145">
        <f>'Premissas Adotadas'!$D$39*'Cronograma de Implantação'!U60</f>
        <v>14518451.149993518</v>
      </c>
      <c r="X15" s="145">
        <f>'Premissas Adotadas'!$D$39*'Cronograma de Implantação'!V60</f>
        <v>21777676.724990278</v>
      </c>
      <c r="Y15" s="145">
        <f>'Premissas Adotadas'!$D$39*'Cronograma de Implantação'!W60</f>
        <v>21777676.724990278</v>
      </c>
      <c r="Z15" s="145">
        <f>'Premissas Adotadas'!$D$39*'Cronograma de Implantação'!X60</f>
        <v>21777676.724990278</v>
      </c>
      <c r="AA15" s="145">
        <f>'Premissas Adotadas'!$D$39*'Cronograma de Implantação'!Y60</f>
        <v>14518451.149993518</v>
      </c>
      <c r="AB15" s="145">
        <f>'Premissas Adotadas'!$D$39*'Cronograma de Implantação'!Z60</f>
        <v>21777676.724990278</v>
      </c>
      <c r="AC15" s="145">
        <f>'Premissas Adotadas'!$D$39*'Cronograma de Implantação'!AA60</f>
        <v>14518451.149993518</v>
      </c>
      <c r="AD15" s="145">
        <f>'Premissas Adotadas'!$D$39*'Cronograma de Implantação'!AB60</f>
        <v>21777676.724990278</v>
      </c>
      <c r="AE15" s="145">
        <f>'Premissas Adotadas'!$D$39*'Cronograma de Implantação'!AC60</f>
        <v>21777676.724990278</v>
      </c>
      <c r="AF15" s="145">
        <f>'Premissas Adotadas'!$D$39*'Cronograma de Implantação'!AD60</f>
        <v>21777676.724990278</v>
      </c>
      <c r="AG15" s="145">
        <f>'Premissas Adotadas'!$D$39*'Cronograma de Implantação'!AE60</f>
        <v>21777676.724990278</v>
      </c>
      <c r="AH15" s="145">
        <f>'Premissas Adotadas'!$D$39*'Cronograma de Implantação'!AF60</f>
        <v>21777676.724990278</v>
      </c>
      <c r="AI15" s="145">
        <f>'Premissas Adotadas'!$D$39*'Cronograma de Implantação'!AG60</f>
        <v>21777676.724990278</v>
      </c>
      <c r="AJ15" s="145">
        <f>'Premissas Adotadas'!$D$39*'Cronograma de Implantação'!AH60</f>
        <v>21777676.724990278</v>
      </c>
      <c r="AK15" s="145">
        <f>'Premissas Adotadas'!$D$39*'Cronograma de Implantação'!AI60</f>
        <v>21777676.724990278</v>
      </c>
      <c r="AL15" s="145">
        <f>'Premissas Adotadas'!$D$39*'Cronograma de Implantação'!AJ60</f>
        <v>21777676.724990278</v>
      </c>
      <c r="AM15" s="145">
        <f>'Premissas Adotadas'!$D$39*'Cronograma de Implantação'!AK60</f>
        <v>21777676.724990278</v>
      </c>
    </row>
    <row r="16" spans="2:42" x14ac:dyDescent="0.2">
      <c r="B16" s="144" t="s">
        <v>207</v>
      </c>
      <c r="C16" s="190">
        <f t="shared" si="0"/>
        <v>1540726478.3933418</v>
      </c>
      <c r="D16" s="193"/>
      <c r="E16" s="169">
        <f>'Premissas Adotadas'!$D$40*'Cronograma de Implantação'!C66</f>
        <v>0</v>
      </c>
      <c r="F16" s="169">
        <f>'Premissas Adotadas'!$D$40*'Cronograma de Implantação'!D66</f>
        <v>0</v>
      </c>
      <c r="G16" s="169">
        <f>'Premissas Adotadas'!$D$40*'Cronograma de Implantação'!E66</f>
        <v>3339739.6997167137</v>
      </c>
      <c r="H16" s="169">
        <f>'Premissas Adotadas'!$D$40*'Cronograma de Implantação'!F66</f>
        <v>16627240.10410765</v>
      </c>
      <c r="I16" s="169">
        <f>'Premissas Adotadas'!$D$40*'Cronograma de Implantação'!G66</f>
        <v>30187786.794759206</v>
      </c>
      <c r="J16" s="169">
        <f>'Premissas Adotadas'!$D$40*'Cronograma de Implantação'!H66</f>
        <v>45805206.955878191</v>
      </c>
      <c r="K16" s="169">
        <f>'Premissas Adotadas'!$D$40*'Cronograma de Implantação'!I66</f>
        <v>54195550.757790364</v>
      </c>
      <c r="L16" s="169">
        <f>'Premissas Adotadas'!$D$40*'Cronograma de Implantação'!J66</f>
        <v>37081892.108829074</v>
      </c>
      <c r="M16" s="169">
        <f>'Premissas Adotadas'!$D$40*'Cronograma de Implantação'!K66</f>
        <v>37081892.108829074</v>
      </c>
      <c r="N16" s="169">
        <f>'Premissas Adotadas'!$D$40*'Cronograma de Implantação'!L66</f>
        <v>37081892.108829074</v>
      </c>
      <c r="O16" s="169">
        <f>'Premissas Adotadas'!$D$40*'Cronograma de Implantação'!M66</f>
        <v>55622838.163243614</v>
      </c>
      <c r="P16" s="169">
        <f>'Premissas Adotadas'!$D$40*'Cronograma de Implantação'!N66</f>
        <v>55622838.163243614</v>
      </c>
      <c r="Q16" s="169">
        <f>'Premissas Adotadas'!$D$40*'Cronograma de Implantação'!O66</f>
        <v>55622838.163243614</v>
      </c>
      <c r="R16" s="169">
        <f>'Premissas Adotadas'!$D$40*'Cronograma de Implantação'!P66</f>
        <v>55622838.163243614</v>
      </c>
      <c r="S16" s="169">
        <f>'Premissas Adotadas'!$D$40*'Cronograma de Implantação'!Q66</f>
        <v>55622838.163243614</v>
      </c>
      <c r="T16" s="169">
        <f>'Premissas Adotadas'!$D$40*'Cronograma de Implantação'!R66</f>
        <v>55622838.163243614</v>
      </c>
      <c r="U16" s="169">
        <f>'Premissas Adotadas'!$D$40*'Cronograma de Implantação'!S66</f>
        <v>55622838.163243614</v>
      </c>
      <c r="V16" s="169">
        <f>'Premissas Adotadas'!$D$40*'Cronograma de Implantação'!T66</f>
        <v>37081892.108829074</v>
      </c>
      <c r="W16" s="169">
        <f>'Premissas Adotadas'!$D$40*'Cronograma de Implantação'!U66</f>
        <v>37081892.108829074</v>
      </c>
      <c r="X16" s="169">
        <f>'Premissas Adotadas'!$D$40*'Cronograma de Implantação'!V66</f>
        <v>37081892.108829074</v>
      </c>
      <c r="Y16" s="169">
        <f>'Premissas Adotadas'!$D$40*'Cronograma de Implantação'!W66</f>
        <v>55622838.163243614</v>
      </c>
      <c r="Z16" s="169">
        <f>'Premissas Adotadas'!$D$40*'Cronograma de Implantação'!X66</f>
        <v>55622838.163243614</v>
      </c>
      <c r="AA16" s="169">
        <f>'Premissas Adotadas'!$D$40*'Cronograma de Implantação'!Y66</f>
        <v>55622838.163243614</v>
      </c>
      <c r="AB16" s="169">
        <f>'Premissas Adotadas'!$D$40*'Cronograma de Implantação'!Z66</f>
        <v>55622838.163243614</v>
      </c>
      <c r="AC16" s="169">
        <f>'Premissas Adotadas'!$D$40*'Cronograma de Implantação'!AA66</f>
        <v>55622838.163243614</v>
      </c>
      <c r="AD16" s="169">
        <f>'Premissas Adotadas'!$D$40*'Cronograma de Implantação'!AB66</f>
        <v>55622838.163243614</v>
      </c>
      <c r="AE16" s="169">
        <f>'Premissas Adotadas'!$D$40*'Cronograma de Implantação'!AC66</f>
        <v>55622838.163243614</v>
      </c>
      <c r="AF16" s="169">
        <f>'Premissas Adotadas'!$D$40*'Cronograma de Implantação'!AD66</f>
        <v>37081892.108829074</v>
      </c>
      <c r="AG16" s="169">
        <f>'Premissas Adotadas'!$D$40*'Cronograma de Implantação'!AE66</f>
        <v>37081892.108829074</v>
      </c>
      <c r="AH16" s="169">
        <f>'Premissas Adotadas'!$D$40*'Cronograma de Implantação'!AF66</f>
        <v>37081892.108829074</v>
      </c>
      <c r="AI16" s="169">
        <f>'Premissas Adotadas'!$D$40*'Cronograma de Implantação'!AG66</f>
        <v>55622838.163243614</v>
      </c>
      <c r="AJ16" s="169">
        <f>'Premissas Adotadas'!$D$40*'Cronograma de Implantação'!AH66</f>
        <v>55622838.163243614</v>
      </c>
      <c r="AK16" s="169">
        <f>'Premissas Adotadas'!$D$40*'Cronograma de Implantação'!AI66</f>
        <v>55622838.163243614</v>
      </c>
      <c r="AL16" s="169">
        <f>'Premissas Adotadas'!$D$40*'Cronograma de Implantação'!AJ66</f>
        <v>55622838.163243614</v>
      </c>
      <c r="AM16" s="169">
        <f>'Premissas Adotadas'!$D$40*'Cronograma de Implantação'!AK66</f>
        <v>55622838.163243614</v>
      </c>
    </row>
    <row r="17" spans="2:39" x14ac:dyDescent="0.2">
      <c r="B17" s="224" t="s">
        <v>138</v>
      </c>
      <c r="C17" s="225">
        <f t="shared" si="0"/>
        <v>-647451412.12029159</v>
      </c>
      <c r="D17" s="478"/>
      <c r="E17" s="226">
        <f t="shared" ref="E17:AM17" si="4">SUM(E18:E19)</f>
        <v>0</v>
      </c>
      <c r="F17" s="226">
        <f t="shared" si="4"/>
        <v>0</v>
      </c>
      <c r="G17" s="226">
        <f t="shared" si="4"/>
        <v>333370.22949801455</v>
      </c>
      <c r="H17" s="226">
        <f t="shared" si="4"/>
        <v>1393182.9200757246</v>
      </c>
      <c r="I17" s="226">
        <f t="shared" si="4"/>
        <v>-402714.42354397662</v>
      </c>
      <c r="J17" s="226">
        <f t="shared" si="4"/>
        <v>-7454177.3946650168</v>
      </c>
      <c r="K17" s="226">
        <f t="shared" si="4"/>
        <v>-13522331.037105661</v>
      </c>
      <c r="L17" s="226">
        <f t="shared" si="4"/>
        <v>-19477994.210964743</v>
      </c>
      <c r="M17" s="226">
        <f t="shared" si="4"/>
        <v>-21972680.220466204</v>
      </c>
      <c r="N17" s="226">
        <f t="shared" si="4"/>
        <v>-21972680.220466204</v>
      </c>
      <c r="O17" s="226">
        <f t="shared" si="4"/>
        <v>-24190877.010857709</v>
      </c>
      <c r="P17" s="226">
        <f t="shared" si="4"/>
        <v>-24190877.010857709</v>
      </c>
      <c r="Q17" s="226">
        <f t="shared" si="4"/>
        <v>-24190877.010857709</v>
      </c>
      <c r="R17" s="226">
        <f t="shared" si="4"/>
        <v>-24190877.010857709</v>
      </c>
      <c r="S17" s="226">
        <f t="shared" si="4"/>
        <v>-24190877.010857709</v>
      </c>
      <c r="T17" s="226">
        <f t="shared" si="4"/>
        <v>-24190877.010857709</v>
      </c>
      <c r="U17" s="226">
        <f t="shared" si="4"/>
        <v>-24190877.010857709</v>
      </c>
      <c r="V17" s="226">
        <f t="shared" si="4"/>
        <v>-13810163.306789912</v>
      </c>
      <c r="W17" s="226">
        <f t="shared" si="4"/>
        <v>-21106078.211995803</v>
      </c>
      <c r="X17" s="226">
        <f t="shared" si="4"/>
        <v>-13810163.306789912</v>
      </c>
      <c r="Y17" s="226">
        <f t="shared" si="4"/>
        <v>-24190877.010857709</v>
      </c>
      <c r="Z17" s="226">
        <f t="shared" si="4"/>
        <v>-16028360.097181417</v>
      </c>
      <c r="AA17" s="226">
        <f t="shared" si="4"/>
        <v>-23324275.002387311</v>
      </c>
      <c r="AB17" s="226">
        <f t="shared" si="4"/>
        <v>-24190877.010857709</v>
      </c>
      <c r="AC17" s="226">
        <f t="shared" si="4"/>
        <v>-23324275.002387311</v>
      </c>
      <c r="AD17" s="226">
        <f t="shared" si="4"/>
        <v>-24190877.010857709</v>
      </c>
      <c r="AE17" s="226">
        <f t="shared" si="4"/>
        <v>-24190877.010857709</v>
      </c>
      <c r="AF17" s="226">
        <f t="shared" si="4"/>
        <v>-21972680.220466204</v>
      </c>
      <c r="AG17" s="226">
        <f t="shared" si="4"/>
        <v>-21972680.220466204</v>
      </c>
      <c r="AH17" s="226">
        <f t="shared" si="4"/>
        <v>-21972680.220466204</v>
      </c>
      <c r="AI17" s="226">
        <f t="shared" si="4"/>
        <v>-24190877.010857709</v>
      </c>
      <c r="AJ17" s="226">
        <f t="shared" si="4"/>
        <v>-24190877.010857709</v>
      </c>
      <c r="AK17" s="226">
        <f t="shared" si="4"/>
        <v>-24190877.010857709</v>
      </c>
      <c r="AL17" s="226">
        <f t="shared" si="4"/>
        <v>-24190877.010857709</v>
      </c>
      <c r="AM17" s="226">
        <f t="shared" si="4"/>
        <v>-24190877.010857709</v>
      </c>
    </row>
    <row r="18" spans="2:39" x14ac:dyDescent="0.2">
      <c r="B18" s="144" t="s">
        <v>109</v>
      </c>
      <c r="C18" s="190">
        <f t="shared" si="0"/>
        <v>-421544188.42357957</v>
      </c>
      <c r="D18" s="193"/>
      <c r="E18" s="145">
        <f>-E70</f>
        <v>0</v>
      </c>
      <c r="F18" s="145">
        <f>-F70</f>
        <v>0</v>
      </c>
      <c r="G18" s="145">
        <f>-G70</f>
        <v>561157.47763317509</v>
      </c>
      <c r="H18" s="145">
        <f t="shared" ref="H18:AM18" si="5">-H70</f>
        <v>2467499.3653872702</v>
      </c>
      <c r="I18" s="145">
        <f t="shared" si="5"/>
        <v>1778321.376206072</v>
      </c>
      <c r="J18" s="145">
        <f t="shared" si="5"/>
        <v>-2938736.7479512431</v>
      </c>
      <c r="K18" s="145">
        <f t="shared" si="5"/>
        <v>-7577511.3917880878</v>
      </c>
      <c r="L18" s="145">
        <f t="shared" si="5"/>
        <v>-12430395.559168532</v>
      </c>
      <c r="M18" s="145">
        <f t="shared" si="5"/>
        <v>-14472505.788185216</v>
      </c>
      <c r="N18" s="145">
        <f t="shared" si="5"/>
        <v>-14472505.788185216</v>
      </c>
      <c r="O18" s="145">
        <f t="shared" si="5"/>
        <v>-16310613.184461225</v>
      </c>
      <c r="P18" s="145">
        <f t="shared" si="5"/>
        <v>-16310613.184461225</v>
      </c>
      <c r="Q18" s="145">
        <f t="shared" si="5"/>
        <v>-16310613.184461225</v>
      </c>
      <c r="R18" s="145">
        <f t="shared" si="5"/>
        <v>-16310613.184461225</v>
      </c>
      <c r="S18" s="145">
        <f t="shared" si="5"/>
        <v>-16310613.184461225</v>
      </c>
      <c r="T18" s="145">
        <f t="shared" si="5"/>
        <v>-16310613.184461225</v>
      </c>
      <c r="U18" s="145">
        <f t="shared" si="5"/>
        <v>-16310613.184461225</v>
      </c>
      <c r="V18" s="145">
        <f t="shared" si="5"/>
        <v>-7764569.0502525494</v>
      </c>
      <c r="W18" s="145">
        <f t="shared" si="5"/>
        <v>-13754717.904002246</v>
      </c>
      <c r="X18" s="145">
        <f t="shared" si="5"/>
        <v>-7764569.0502525494</v>
      </c>
      <c r="Y18" s="145">
        <f t="shared" si="5"/>
        <v>-16310613.184461225</v>
      </c>
      <c r="Z18" s="145">
        <f t="shared" si="5"/>
        <v>-9602676.4465285577</v>
      </c>
      <c r="AA18" s="145">
        <f t="shared" si="5"/>
        <v>-15592825.300278258</v>
      </c>
      <c r="AB18" s="145">
        <f t="shared" si="5"/>
        <v>-16310613.184461225</v>
      </c>
      <c r="AC18" s="145">
        <f t="shared" si="5"/>
        <v>-15592825.300278258</v>
      </c>
      <c r="AD18" s="145">
        <f t="shared" si="5"/>
        <v>-16310613.184461225</v>
      </c>
      <c r="AE18" s="145">
        <f t="shared" si="5"/>
        <v>-16310613.184461225</v>
      </c>
      <c r="AF18" s="145">
        <f t="shared" si="5"/>
        <v>-14472505.788185216</v>
      </c>
      <c r="AG18" s="145">
        <f t="shared" si="5"/>
        <v>-14472505.788185216</v>
      </c>
      <c r="AH18" s="145">
        <f t="shared" si="5"/>
        <v>-14472505.788185216</v>
      </c>
      <c r="AI18" s="145">
        <f t="shared" si="5"/>
        <v>-16310613.184461225</v>
      </c>
      <c r="AJ18" s="145">
        <f t="shared" si="5"/>
        <v>-16310613.184461225</v>
      </c>
      <c r="AK18" s="145">
        <f t="shared" si="5"/>
        <v>-16310613.184461225</v>
      </c>
      <c r="AL18" s="145">
        <f t="shared" si="5"/>
        <v>-16310613.184461225</v>
      </c>
      <c r="AM18" s="145">
        <f t="shared" si="5"/>
        <v>-16310613.184461225</v>
      </c>
    </row>
    <row r="19" spans="2:39" x14ac:dyDescent="0.2">
      <c r="B19" s="144" t="s">
        <v>108</v>
      </c>
      <c r="C19" s="190">
        <f t="shared" si="0"/>
        <v>-225907223.69671232</v>
      </c>
      <c r="D19" s="193"/>
      <c r="E19" s="145">
        <f>-E10*'Premissas Adotadas'!$K$24</f>
        <v>0</v>
      </c>
      <c r="F19" s="145">
        <f>-F10*'Premissas Adotadas'!$K$24</f>
        <v>0</v>
      </c>
      <c r="G19" s="145">
        <f>-G10*'Premissas Adotadas'!$K$24</f>
        <v>-227787.24813516054</v>
      </c>
      <c r="H19" s="145">
        <f>-H10*'Premissas Adotadas'!$K$24</f>
        <v>-1074316.4453115456</v>
      </c>
      <c r="I19" s="145">
        <f>-I10*'Premissas Adotadas'!$K$24</f>
        <v>-2181035.7997500487</v>
      </c>
      <c r="J19" s="145">
        <f>-J10*'Premissas Adotadas'!$K$24</f>
        <v>-4515440.6467137737</v>
      </c>
      <c r="K19" s="145">
        <f>-K10*'Premissas Adotadas'!$K$24</f>
        <v>-5944819.6453175731</v>
      </c>
      <c r="L19" s="145">
        <f>-L10*'Premissas Adotadas'!$K$24</f>
        <v>-7047598.6517962096</v>
      </c>
      <c r="M19" s="145">
        <f>-M10*'Premissas Adotadas'!$K$24</f>
        <v>-7500174.4322809875</v>
      </c>
      <c r="N19" s="145">
        <f>-N10*'Premissas Adotadas'!$K$24</f>
        <v>-7500174.4322809875</v>
      </c>
      <c r="O19" s="145">
        <f>-O10*'Premissas Adotadas'!$K$24</f>
        <v>-7880263.8263964849</v>
      </c>
      <c r="P19" s="145">
        <f>-P10*'Premissas Adotadas'!$K$24</f>
        <v>-7880263.8263964849</v>
      </c>
      <c r="Q19" s="145">
        <f>-Q10*'Premissas Adotadas'!$K$24</f>
        <v>-7880263.8263964849</v>
      </c>
      <c r="R19" s="145">
        <f>-R10*'Premissas Adotadas'!$K$24</f>
        <v>-7880263.8263964849</v>
      </c>
      <c r="S19" s="145">
        <f>-S10*'Premissas Adotadas'!$K$24</f>
        <v>-7880263.8263964849</v>
      </c>
      <c r="T19" s="145">
        <f>-T10*'Premissas Adotadas'!$K$24</f>
        <v>-7880263.8263964849</v>
      </c>
      <c r="U19" s="145">
        <f>-U10*'Premissas Adotadas'!$K$24</f>
        <v>-7880263.8263964849</v>
      </c>
      <c r="V19" s="145">
        <f>-V10*'Premissas Adotadas'!$K$24</f>
        <v>-6045594.2565373629</v>
      </c>
      <c r="W19" s="145">
        <f>-W10*'Premissas Adotadas'!$K$24</f>
        <v>-7351360.3079935554</v>
      </c>
      <c r="X19" s="145">
        <f>-X10*'Premissas Adotadas'!$K$24</f>
        <v>-6045594.2565373629</v>
      </c>
      <c r="Y19" s="145">
        <f>-Y10*'Premissas Adotadas'!$K$24</f>
        <v>-7880263.8263964849</v>
      </c>
      <c r="Z19" s="145">
        <f>-Z10*'Premissas Adotadas'!$K$24</f>
        <v>-6425683.6506528603</v>
      </c>
      <c r="AA19" s="145">
        <f>-AA10*'Premissas Adotadas'!$K$24</f>
        <v>-7731449.7021090528</v>
      </c>
      <c r="AB19" s="145">
        <f>-AB10*'Premissas Adotadas'!$K$24</f>
        <v>-7880263.8263964849</v>
      </c>
      <c r="AC19" s="145">
        <f>-AC10*'Premissas Adotadas'!$K$24</f>
        <v>-7731449.7021090528</v>
      </c>
      <c r="AD19" s="145">
        <f>-AD10*'Premissas Adotadas'!$K$24</f>
        <v>-7880263.8263964849</v>
      </c>
      <c r="AE19" s="145">
        <f>-AE10*'Premissas Adotadas'!$K$24</f>
        <v>-7880263.8263964849</v>
      </c>
      <c r="AF19" s="145">
        <f>-AF10*'Premissas Adotadas'!$K$24</f>
        <v>-7500174.4322809875</v>
      </c>
      <c r="AG19" s="145">
        <f>-AG10*'Premissas Adotadas'!$K$24</f>
        <v>-7500174.4322809875</v>
      </c>
      <c r="AH19" s="145">
        <f>-AH10*'Premissas Adotadas'!$K$24</f>
        <v>-7500174.4322809875</v>
      </c>
      <c r="AI19" s="145">
        <f>-AI10*'Premissas Adotadas'!$K$24</f>
        <v>-7880263.8263964849</v>
      </c>
      <c r="AJ19" s="145">
        <f>-AJ10*'Premissas Adotadas'!$K$24</f>
        <v>-7880263.8263964849</v>
      </c>
      <c r="AK19" s="145">
        <f>-AK10*'Premissas Adotadas'!$K$24</f>
        <v>-7880263.8263964849</v>
      </c>
      <c r="AL19" s="145">
        <f>-AL10*'Premissas Adotadas'!$K$24</f>
        <v>-7880263.8263964849</v>
      </c>
      <c r="AM19" s="145">
        <f>-AM10*'Premissas Adotadas'!$K$24</f>
        <v>-7880263.8263964849</v>
      </c>
    </row>
    <row r="20" spans="2:39" x14ac:dyDescent="0.2">
      <c r="B20" s="224" t="s">
        <v>139</v>
      </c>
      <c r="C20" s="225">
        <f>SUM(E20:AM20)</f>
        <v>10372413158.451036</v>
      </c>
      <c r="D20" s="478"/>
      <c r="E20" s="226">
        <f t="shared" ref="E20:AM20" si="6">E10+E17</f>
        <v>0</v>
      </c>
      <c r="F20" s="226">
        <f t="shared" si="6"/>
        <v>0</v>
      </c>
      <c r="G20" s="226">
        <f t="shared" si="6"/>
        <v>11444943.309261942</v>
      </c>
      <c r="H20" s="226">
        <f t="shared" si="6"/>
        <v>53798863.179175504</v>
      </c>
      <c r="I20" s="226">
        <f t="shared" si="6"/>
        <v>105989275.80816571</v>
      </c>
      <c r="J20" s="226">
        <f t="shared" si="6"/>
        <v>212811220.00600687</v>
      </c>
      <c r="K20" s="226">
        <f t="shared" si="6"/>
        <v>276468871.17350763</v>
      </c>
      <c r="L20" s="226">
        <f t="shared" si="6"/>
        <v>324307305.87665522</v>
      </c>
      <c r="M20" s="226">
        <f t="shared" si="6"/>
        <v>343889487.20787466</v>
      </c>
      <c r="N20" s="226">
        <f t="shared" si="6"/>
        <v>343889487.20787466</v>
      </c>
      <c r="O20" s="226">
        <f t="shared" si="6"/>
        <v>360212236.47189766</v>
      </c>
      <c r="P20" s="226">
        <f t="shared" si="6"/>
        <v>360212236.47189766</v>
      </c>
      <c r="Q20" s="226">
        <f t="shared" si="6"/>
        <v>360212236.47189766</v>
      </c>
      <c r="R20" s="226">
        <f t="shared" si="6"/>
        <v>360212236.47189766</v>
      </c>
      <c r="S20" s="226">
        <f t="shared" si="6"/>
        <v>360212236.47189766</v>
      </c>
      <c r="T20" s="226">
        <f t="shared" si="6"/>
        <v>360212236.47189766</v>
      </c>
      <c r="U20" s="226">
        <f t="shared" si="6"/>
        <v>360212236.47189766</v>
      </c>
      <c r="V20" s="226">
        <f t="shared" si="6"/>
        <v>281096873.59747165</v>
      </c>
      <c r="W20" s="226">
        <f t="shared" si="6"/>
        <v>337496863.64134836</v>
      </c>
      <c r="X20" s="226">
        <f t="shared" si="6"/>
        <v>281096873.59747165</v>
      </c>
      <c r="Y20" s="226">
        <f t="shared" si="6"/>
        <v>360212236.47189766</v>
      </c>
      <c r="Z20" s="226">
        <f t="shared" si="6"/>
        <v>297419622.86149466</v>
      </c>
      <c r="AA20" s="226">
        <f t="shared" si="6"/>
        <v>353819612.90537137</v>
      </c>
      <c r="AB20" s="226">
        <f t="shared" si="6"/>
        <v>360212236.47189766</v>
      </c>
      <c r="AC20" s="226">
        <f t="shared" si="6"/>
        <v>353819612.90537137</v>
      </c>
      <c r="AD20" s="226">
        <f t="shared" si="6"/>
        <v>360212236.47189766</v>
      </c>
      <c r="AE20" s="226">
        <f t="shared" si="6"/>
        <v>360212236.47189766</v>
      </c>
      <c r="AF20" s="226">
        <f t="shared" si="6"/>
        <v>343889487.20787466</v>
      </c>
      <c r="AG20" s="226">
        <f t="shared" si="6"/>
        <v>343889487.20787466</v>
      </c>
      <c r="AH20" s="226">
        <f t="shared" si="6"/>
        <v>343889487.20787466</v>
      </c>
      <c r="AI20" s="226">
        <f t="shared" si="6"/>
        <v>360212236.47189766</v>
      </c>
      <c r="AJ20" s="226">
        <f t="shared" si="6"/>
        <v>360212236.47189766</v>
      </c>
      <c r="AK20" s="226">
        <f t="shared" si="6"/>
        <v>360212236.47189766</v>
      </c>
      <c r="AL20" s="226">
        <f t="shared" si="6"/>
        <v>360212236.47189766</v>
      </c>
      <c r="AM20" s="226">
        <f t="shared" si="6"/>
        <v>360212236.47189766</v>
      </c>
    </row>
    <row r="21" spans="2:39" ht="5.25" customHeight="1" x14ac:dyDescent="0.2">
      <c r="D21" s="479"/>
    </row>
    <row r="22" spans="2:39" x14ac:dyDescent="0.2">
      <c r="B22" s="224" t="s">
        <v>140</v>
      </c>
      <c r="C22" s="225">
        <f>SUM(E22:AM22)</f>
        <v>-7050200795.2501392</v>
      </c>
      <c r="D22" s="478"/>
      <c r="E22" s="226">
        <f>SUM(E23:E35)</f>
        <v>-16321679.540972497</v>
      </c>
      <c r="F22" s="226">
        <f t="shared" ref="F22:AM22" si="7">SUM(F23:F35)</f>
        <v>-2802659.322336209</v>
      </c>
      <c r="G22" s="226">
        <f t="shared" si="7"/>
        <v>-21776279.674076967</v>
      </c>
      <c r="H22" s="226">
        <f t="shared" si="7"/>
        <v>-89885565.984674066</v>
      </c>
      <c r="I22" s="226">
        <f t="shared" si="7"/>
        <v>-139760012.53317288</v>
      </c>
      <c r="J22" s="226">
        <f t="shared" si="7"/>
        <v>-208018789.61967111</v>
      </c>
      <c r="K22" s="226">
        <f t="shared" si="7"/>
        <v>-231207369.34848166</v>
      </c>
      <c r="L22" s="226">
        <f t="shared" si="7"/>
        <v>-230832643.33388337</v>
      </c>
      <c r="M22" s="226">
        <f t="shared" si="7"/>
        <v>-230832643.33388337</v>
      </c>
      <c r="N22" s="226">
        <f t="shared" si="7"/>
        <v>-230832643.33388337</v>
      </c>
      <c r="O22" s="226">
        <f t="shared" si="7"/>
        <v>-225349180.09194922</v>
      </c>
      <c r="P22" s="226">
        <f t="shared" si="7"/>
        <v>-225352349.45685109</v>
      </c>
      <c r="Q22" s="226">
        <f t="shared" si="7"/>
        <v>-225349180.09194922</v>
      </c>
      <c r="R22" s="226">
        <f t="shared" si="7"/>
        <v>-225349180.09194922</v>
      </c>
      <c r="S22" s="226">
        <f t="shared" si="7"/>
        <v>-225349180.09194922</v>
      </c>
      <c r="T22" s="226">
        <f t="shared" si="7"/>
        <v>-225349180.09194922</v>
      </c>
      <c r="U22" s="226">
        <f t="shared" si="7"/>
        <v>-225349180.09194922</v>
      </c>
      <c r="V22" s="226">
        <f t="shared" si="7"/>
        <v>-228248832.78386408</v>
      </c>
      <c r="W22" s="226">
        <f t="shared" si="7"/>
        <v>-227182139.92052412</v>
      </c>
      <c r="X22" s="226">
        <f t="shared" si="7"/>
        <v>-228245663.41896221</v>
      </c>
      <c r="Y22" s="226">
        <f t="shared" si="7"/>
        <v>-225349180.09194922</v>
      </c>
      <c r="Z22" s="226">
        <f t="shared" si="7"/>
        <v>-226913847.67702803</v>
      </c>
      <c r="AA22" s="226">
        <f t="shared" si="7"/>
        <v>-225850324.17858997</v>
      </c>
      <c r="AB22" s="226">
        <f t="shared" si="7"/>
        <v>-225352349.45685109</v>
      </c>
      <c r="AC22" s="226">
        <f t="shared" si="7"/>
        <v>-225850324.17858997</v>
      </c>
      <c r="AD22" s="226">
        <f t="shared" si="7"/>
        <v>-225349180.09194922</v>
      </c>
      <c r="AE22" s="226">
        <f t="shared" si="7"/>
        <v>-225349180.09194922</v>
      </c>
      <c r="AF22" s="226">
        <f t="shared" si="7"/>
        <v>-226680995.83388337</v>
      </c>
      <c r="AG22" s="226">
        <f t="shared" si="7"/>
        <v>-226680995.83388337</v>
      </c>
      <c r="AH22" s="226">
        <f t="shared" si="7"/>
        <v>-226684165.19878528</v>
      </c>
      <c r="AI22" s="226">
        <f t="shared" si="7"/>
        <v>-225349180.09194922</v>
      </c>
      <c r="AJ22" s="226">
        <f t="shared" si="7"/>
        <v>-225349180.09194922</v>
      </c>
      <c r="AK22" s="226">
        <f t="shared" si="7"/>
        <v>-225349180.09194922</v>
      </c>
      <c r="AL22" s="226">
        <f t="shared" si="7"/>
        <v>-225349180.09194922</v>
      </c>
      <c r="AM22" s="226">
        <f t="shared" si="7"/>
        <v>-225349180.09194922</v>
      </c>
    </row>
    <row r="23" spans="2:39" x14ac:dyDescent="0.2">
      <c r="B23" s="144" t="s">
        <v>110</v>
      </c>
      <c r="C23" s="190">
        <f t="shared" ref="C23:C30" si="8">SUM(E23:AM23)</f>
        <v>-393778637.42237353</v>
      </c>
      <c r="D23" s="193"/>
      <c r="E23" s="145">
        <f>-'Cronograma de Implantação'!C22*'Premissas Adotadas'!$G$17*'Premissas Adotadas'!$G$34</f>
        <v>0</v>
      </c>
      <c r="F23" s="145">
        <f>-'Cronograma de Implantação'!D22*'Premissas Adotadas'!$G$17*'Premissas Adotadas'!$G$34</f>
        <v>0</v>
      </c>
      <c r="G23" s="145">
        <f>-'Cronograma de Implantação'!E22*'Premissas Adotadas'!$G$17*'Premissas Adotadas'!$G$34</f>
        <v>-1049642.6402515583</v>
      </c>
      <c r="H23" s="145">
        <f>-'Cronograma de Implantação'!F22*'Premissas Adotadas'!$G$17*'Premissas Adotadas'!$G$34</f>
        <v>-4832138.6411580741</v>
      </c>
      <c r="I23" s="145">
        <f>-'Cronograma de Implantação'!G22*'Premissas Adotadas'!$G$17*'Premissas Adotadas'!$G$34</f>
        <v>-7675630.0098395469</v>
      </c>
      <c r="J23" s="145">
        <f>-'Cronograma de Implantação'!H22*'Premissas Adotadas'!$G$17*'Premissas Adotadas'!$G$34</f>
        <v>-11517700.32276034</v>
      </c>
      <c r="K23" s="145">
        <f>-'Cronograma de Implantação'!I22*'Premissas Adotadas'!$G$17*'Premissas Adotadas'!$G$34</f>
        <v>-12713914.683047026</v>
      </c>
      <c r="L23" s="145">
        <f>-'Cronograma de Implantação'!J22*'Premissas Adotadas'!$G$17*'Premissas Adotadas'!$G$34</f>
        <v>-12713914.683047026</v>
      </c>
      <c r="M23" s="145">
        <f>-'Cronograma de Implantação'!K22*'Premissas Adotadas'!$G$17*'Premissas Adotadas'!$G$34</f>
        <v>-12713914.683047026</v>
      </c>
      <c r="N23" s="145">
        <f>-'Cronograma de Implantação'!L22*'Premissas Adotadas'!$G$17*'Premissas Adotadas'!$G$34</f>
        <v>-12713914.683047026</v>
      </c>
      <c r="O23" s="145">
        <f>-'Cronograma de Implantação'!M22*'Premissas Adotadas'!$G$17*'Premissas Adotadas'!$G$34</f>
        <v>-12713914.683047026</v>
      </c>
      <c r="P23" s="145">
        <f>-'Cronograma de Implantação'!N22*'Premissas Adotadas'!$G$17*'Premissas Adotadas'!$G$34</f>
        <v>-12713914.683047026</v>
      </c>
      <c r="Q23" s="145">
        <f>-'Cronograma de Implantação'!O22*'Premissas Adotadas'!$G$17*'Premissas Adotadas'!$G$34</f>
        <v>-12713914.683047026</v>
      </c>
      <c r="R23" s="145">
        <f>-'Cronograma de Implantação'!P22*'Premissas Adotadas'!$G$17*'Premissas Adotadas'!$G$34</f>
        <v>-12713914.683047026</v>
      </c>
      <c r="S23" s="145">
        <f>-'Cronograma de Implantação'!Q22*'Premissas Adotadas'!$G$17*'Premissas Adotadas'!$G$34</f>
        <v>-12713914.683047026</v>
      </c>
      <c r="T23" s="145">
        <f>-'Cronograma de Implantação'!R22*'Premissas Adotadas'!$G$17*'Premissas Adotadas'!$G$34</f>
        <v>-12713914.683047026</v>
      </c>
      <c r="U23" s="145">
        <f>-'Cronograma de Implantação'!S22*'Premissas Adotadas'!$G$17*'Premissas Adotadas'!$G$34</f>
        <v>-12713914.683047026</v>
      </c>
      <c r="V23" s="145">
        <f>-'Cronograma de Implantação'!T22*'Premissas Adotadas'!$G$17*'Premissas Adotadas'!$G$34</f>
        <v>-12713914.683047026</v>
      </c>
      <c r="W23" s="145">
        <f>-'Cronograma de Implantação'!U22*'Premissas Adotadas'!$G$17*'Premissas Adotadas'!$G$34</f>
        <v>-12713914.683047026</v>
      </c>
      <c r="X23" s="145">
        <f>-'Cronograma de Implantação'!V22*'Premissas Adotadas'!$G$17*'Premissas Adotadas'!$G$34</f>
        <v>-12713914.683047026</v>
      </c>
      <c r="Y23" s="145">
        <f>-'Cronograma de Implantação'!W22*'Premissas Adotadas'!$G$17*'Premissas Adotadas'!$G$34</f>
        <v>-12713914.683047026</v>
      </c>
      <c r="Z23" s="145">
        <f>-'Cronograma de Implantação'!X22*'Premissas Adotadas'!$G$17*'Premissas Adotadas'!$G$34</f>
        <v>-12713914.683047026</v>
      </c>
      <c r="AA23" s="145">
        <f>-'Cronograma de Implantação'!Y22*'Premissas Adotadas'!$G$17*'Premissas Adotadas'!$G$34</f>
        <v>-12713914.683047026</v>
      </c>
      <c r="AB23" s="145">
        <f>-'Cronograma de Implantação'!Z22*'Premissas Adotadas'!$G$17*'Premissas Adotadas'!$G$34</f>
        <v>-12713914.683047026</v>
      </c>
      <c r="AC23" s="145">
        <f>-'Cronograma de Implantação'!AA22*'Premissas Adotadas'!$G$17*'Premissas Adotadas'!$G$34</f>
        <v>-12713914.683047026</v>
      </c>
      <c r="AD23" s="145">
        <f>-'Cronograma de Implantação'!AB22*'Premissas Adotadas'!$G$17*'Premissas Adotadas'!$G$34</f>
        <v>-12713914.683047026</v>
      </c>
      <c r="AE23" s="145">
        <f>-'Cronograma de Implantação'!AC22*'Premissas Adotadas'!$G$17*'Premissas Adotadas'!$G$34</f>
        <v>-12713914.683047026</v>
      </c>
      <c r="AF23" s="145">
        <f>-'Cronograma de Implantação'!AD22*'Premissas Adotadas'!$G$17*'Premissas Adotadas'!$G$34</f>
        <v>-12713914.683047026</v>
      </c>
      <c r="AG23" s="145">
        <f>-'Cronograma de Implantação'!AE22*'Premissas Adotadas'!$G$17*'Premissas Adotadas'!$G$34</f>
        <v>-12713914.683047026</v>
      </c>
      <c r="AH23" s="145">
        <f>-'Cronograma de Implantação'!AF22*'Premissas Adotadas'!$G$17*'Premissas Adotadas'!$G$34</f>
        <v>-12713914.683047026</v>
      </c>
      <c r="AI23" s="145">
        <f>-'Cronograma de Implantação'!AG22*'Premissas Adotadas'!$G$17*'Premissas Adotadas'!$G$34</f>
        <v>-12713914.683047026</v>
      </c>
      <c r="AJ23" s="145">
        <f>-'Cronograma de Implantação'!AH22*'Premissas Adotadas'!$G$17*'Premissas Adotadas'!$G$34</f>
        <v>-12713914.683047026</v>
      </c>
      <c r="AK23" s="145">
        <f>-'Cronograma de Implantação'!AI22*'Premissas Adotadas'!$G$17*'Premissas Adotadas'!$G$34</f>
        <v>-12713914.683047026</v>
      </c>
      <c r="AL23" s="145">
        <f>-'Cronograma de Implantação'!AJ22*'Premissas Adotadas'!$G$17*'Premissas Adotadas'!$G$34</f>
        <v>-12713914.683047026</v>
      </c>
      <c r="AM23" s="145">
        <f>-'Cronograma de Implantação'!AK22*'Premissas Adotadas'!$G$17*'Premissas Adotadas'!$G$34</f>
        <v>-12713914.683047026</v>
      </c>
    </row>
    <row r="24" spans="2:39" x14ac:dyDescent="0.2">
      <c r="B24" s="144" t="s">
        <v>111</v>
      </c>
      <c r="C24" s="190">
        <f t="shared" si="8"/>
        <v>-465254957.96987498</v>
      </c>
      <c r="D24" s="193"/>
      <c r="E24" s="145">
        <f>-'Cronograma de Implantação'!C26*'Premissas Adotadas'!$G$18*'Premissas Adotadas'!$G$35</f>
        <v>0</v>
      </c>
      <c r="F24" s="145">
        <f>-'Cronograma de Implantação'!D26*'Premissas Adotadas'!$G$18*'Premissas Adotadas'!$G$35</f>
        <v>0</v>
      </c>
      <c r="G24" s="145">
        <f>-'Cronograma de Implantação'!E26*'Premissas Adotadas'!$G$18*'Premissas Adotadas'!$G$35</f>
        <v>-1240167.4343491972</v>
      </c>
      <c r="H24" s="145">
        <f>-'Cronograma de Implantação'!F26*'Premissas Adotadas'!$G$18*'Premissas Adotadas'!$G$35</f>
        <v>-5709239.2698418004</v>
      </c>
      <c r="I24" s="145">
        <f>-'Cronograma de Implantação'!G26*'Premissas Adotadas'!$G$18*'Premissas Adotadas'!$G$35</f>
        <v>-9068864.0221733637</v>
      </c>
      <c r="J24" s="145">
        <f>-'Cronograma de Implantação'!H26*'Premissas Adotadas'!$G$18*'Premissas Adotadas'!$G$35</f>
        <v>-13608323.739074975</v>
      </c>
      <c r="K24" s="145">
        <f>-'Cronograma de Implantação'!I26*'Premissas Adotadas'!$G$18*'Premissas Adotadas'!$G$35</f>
        <v>-15021667.707049511</v>
      </c>
      <c r="L24" s="145">
        <f>-'Cronograma de Implantação'!J26*'Premissas Adotadas'!$G$18*'Premissas Adotadas'!$G$35</f>
        <v>-15021667.707049511</v>
      </c>
      <c r="M24" s="145">
        <f>-'Cronograma de Implantação'!K26*'Premissas Adotadas'!$G$18*'Premissas Adotadas'!$G$35</f>
        <v>-15021667.707049511</v>
      </c>
      <c r="N24" s="145">
        <f>-'Cronograma de Implantação'!L26*'Premissas Adotadas'!$G$18*'Premissas Adotadas'!$G$35</f>
        <v>-15021667.707049511</v>
      </c>
      <c r="O24" s="145">
        <f>-'Cronograma de Implantação'!M26*'Premissas Adotadas'!$G$18*'Premissas Adotadas'!$G$35</f>
        <v>-15021667.707049511</v>
      </c>
      <c r="P24" s="145">
        <f>-'Cronograma de Implantação'!N26*'Premissas Adotadas'!$G$18*'Premissas Adotadas'!$G$35</f>
        <v>-15021667.707049511</v>
      </c>
      <c r="Q24" s="145">
        <f>-'Cronograma de Implantação'!O26*'Premissas Adotadas'!$G$18*'Premissas Adotadas'!$G$35</f>
        <v>-15021667.707049511</v>
      </c>
      <c r="R24" s="145">
        <f>-'Cronograma de Implantação'!P26*'Premissas Adotadas'!$G$18*'Premissas Adotadas'!$G$35</f>
        <v>-15021667.707049511</v>
      </c>
      <c r="S24" s="145">
        <f>-'Cronograma de Implantação'!Q26*'Premissas Adotadas'!$G$18*'Premissas Adotadas'!$G$35</f>
        <v>-15021667.707049511</v>
      </c>
      <c r="T24" s="145">
        <f>-'Cronograma de Implantação'!R26*'Premissas Adotadas'!$G$18*'Premissas Adotadas'!$G$35</f>
        <v>-15021667.707049511</v>
      </c>
      <c r="U24" s="145">
        <f>-'Cronograma de Implantação'!S26*'Premissas Adotadas'!$G$18*'Premissas Adotadas'!$G$35</f>
        <v>-15021667.707049511</v>
      </c>
      <c r="V24" s="145">
        <f>-'Cronograma de Implantação'!T26*'Premissas Adotadas'!$G$18*'Premissas Adotadas'!$G$35</f>
        <v>-15021667.707049511</v>
      </c>
      <c r="W24" s="145">
        <f>-'Cronograma de Implantação'!U26*'Premissas Adotadas'!$G$18*'Premissas Adotadas'!$G$35</f>
        <v>-15021667.707049511</v>
      </c>
      <c r="X24" s="145">
        <f>-'Cronograma de Implantação'!V26*'Premissas Adotadas'!$G$18*'Premissas Adotadas'!$G$35</f>
        <v>-15021667.707049511</v>
      </c>
      <c r="Y24" s="145">
        <f>-'Cronograma de Implantação'!W26*'Premissas Adotadas'!$G$18*'Premissas Adotadas'!$G$35</f>
        <v>-15021667.707049511</v>
      </c>
      <c r="Z24" s="145">
        <f>-'Cronograma de Implantação'!X26*'Premissas Adotadas'!$G$18*'Premissas Adotadas'!$G$35</f>
        <v>-15021667.707049511</v>
      </c>
      <c r="AA24" s="145">
        <f>-'Cronograma de Implantação'!Y26*'Premissas Adotadas'!$G$18*'Premissas Adotadas'!$G$35</f>
        <v>-15021667.707049511</v>
      </c>
      <c r="AB24" s="145">
        <f>-'Cronograma de Implantação'!Z26*'Premissas Adotadas'!$G$18*'Premissas Adotadas'!$G$35</f>
        <v>-15021667.707049511</v>
      </c>
      <c r="AC24" s="145">
        <f>-'Cronograma de Implantação'!AA26*'Premissas Adotadas'!$G$18*'Premissas Adotadas'!$G$35</f>
        <v>-15021667.707049511</v>
      </c>
      <c r="AD24" s="145">
        <f>-'Cronograma de Implantação'!AB26*'Premissas Adotadas'!$G$18*'Premissas Adotadas'!$G$35</f>
        <v>-15021667.707049511</v>
      </c>
      <c r="AE24" s="145">
        <f>-'Cronograma de Implantação'!AC26*'Premissas Adotadas'!$G$18*'Premissas Adotadas'!$G$35</f>
        <v>-15021667.707049511</v>
      </c>
      <c r="AF24" s="145">
        <f>-'Cronograma de Implantação'!AD26*'Premissas Adotadas'!$G$18*'Premissas Adotadas'!$G$35</f>
        <v>-15021667.707049511</v>
      </c>
      <c r="AG24" s="145">
        <f>-'Cronograma de Implantação'!AE26*'Premissas Adotadas'!$G$18*'Premissas Adotadas'!$G$35</f>
        <v>-15021667.707049511</v>
      </c>
      <c r="AH24" s="145">
        <f>-'Cronograma de Implantação'!AF26*'Premissas Adotadas'!$G$18*'Premissas Adotadas'!$G$35</f>
        <v>-15021667.707049511</v>
      </c>
      <c r="AI24" s="145">
        <f>-'Cronograma de Implantação'!AG26*'Premissas Adotadas'!$G$18*'Premissas Adotadas'!$G$35</f>
        <v>-15021667.707049511</v>
      </c>
      <c r="AJ24" s="145">
        <f>-'Cronograma de Implantação'!AH26*'Premissas Adotadas'!$G$18*'Premissas Adotadas'!$G$35</f>
        <v>-15021667.707049511</v>
      </c>
      <c r="AK24" s="145">
        <f>-'Cronograma de Implantação'!AI26*'Premissas Adotadas'!$G$18*'Premissas Adotadas'!$G$35</f>
        <v>-15021667.707049511</v>
      </c>
      <c r="AL24" s="145">
        <f>-'Cronograma de Implantação'!AJ26*'Premissas Adotadas'!$G$18*'Premissas Adotadas'!$G$35</f>
        <v>-15021667.707049511</v>
      </c>
      <c r="AM24" s="145">
        <f>-'Cronograma de Implantação'!AK26*'Premissas Adotadas'!$G$18*'Premissas Adotadas'!$G$35</f>
        <v>-15021667.707049511</v>
      </c>
    </row>
    <row r="25" spans="2:39" x14ac:dyDescent="0.2">
      <c r="B25" s="144" t="s">
        <v>112</v>
      </c>
      <c r="C25" s="190">
        <f t="shared" si="8"/>
        <v>-1189847365.3398988</v>
      </c>
      <c r="D25" s="193"/>
      <c r="E25" s="145">
        <f>-'Cronograma de Implantação'!C30*'Premissas Adotadas'!$G$19*'Premissas Adotadas'!$G$36</f>
        <v>0</v>
      </c>
      <c r="F25" s="145">
        <f>-'Cronograma de Implantação'!D30*'Premissas Adotadas'!$G$19*'Premissas Adotadas'!$G$36</f>
        <v>0</v>
      </c>
      <c r="G25" s="145">
        <f>-'Cronograma de Implantação'!E30*'Premissas Adotadas'!$G$19*'Premissas Adotadas'!$G$36</f>
        <v>-3171615.7540362617</v>
      </c>
      <c r="H25" s="145">
        <f>-'Cronograma de Implantação'!F30*'Premissas Adotadas'!$G$19*'Premissas Adotadas'!$G$36</f>
        <v>-14600861.714527294</v>
      </c>
      <c r="I25" s="145">
        <f>-'Cronograma de Implantação'!G30*'Premissas Adotadas'!$G$19*'Premissas Adotadas'!$G$36</f>
        <v>-23192797.365326427</v>
      </c>
      <c r="J25" s="145">
        <f>-'Cronograma de Implantação'!H30*'Premissas Adotadas'!$G$19*'Premissas Adotadas'!$G$36</f>
        <v>-34802053.949695192</v>
      </c>
      <c r="K25" s="145">
        <f>-'Cronograma de Implantação'!I30*'Premissas Adotadas'!$G$19*'Premissas Adotadas'!$G$36</f>
        <v>-38416552.984700486</v>
      </c>
      <c r="L25" s="145">
        <f>-'Cronograma de Implantação'!J30*'Premissas Adotadas'!$G$19*'Premissas Adotadas'!$G$36</f>
        <v>-38416552.984700486</v>
      </c>
      <c r="M25" s="145">
        <f>-'Cronograma de Implantação'!K30*'Premissas Adotadas'!$G$19*'Premissas Adotadas'!$G$36</f>
        <v>-38416552.984700486</v>
      </c>
      <c r="N25" s="145">
        <f>-'Cronograma de Implantação'!L30*'Premissas Adotadas'!$G$19*'Premissas Adotadas'!$G$36</f>
        <v>-38416552.984700486</v>
      </c>
      <c r="O25" s="145">
        <f>-'Cronograma de Implantação'!M30*'Premissas Adotadas'!$G$19*'Premissas Adotadas'!$G$36</f>
        <v>-38416552.984700486</v>
      </c>
      <c r="P25" s="145">
        <f>-'Cronograma de Implantação'!N30*'Premissas Adotadas'!$G$19*'Premissas Adotadas'!$G$36</f>
        <v>-38416552.984700486</v>
      </c>
      <c r="Q25" s="145">
        <f>-'Cronograma de Implantação'!O30*'Premissas Adotadas'!$G$19*'Premissas Adotadas'!$G$36</f>
        <v>-38416552.984700486</v>
      </c>
      <c r="R25" s="145">
        <f>-'Cronograma de Implantação'!P30*'Premissas Adotadas'!$G$19*'Premissas Adotadas'!$G$36</f>
        <v>-38416552.984700486</v>
      </c>
      <c r="S25" s="145">
        <f>-'Cronograma de Implantação'!Q30*'Premissas Adotadas'!$G$19*'Premissas Adotadas'!$G$36</f>
        <v>-38416552.984700486</v>
      </c>
      <c r="T25" s="145">
        <f>-'Cronograma de Implantação'!R30*'Premissas Adotadas'!$G$19*'Premissas Adotadas'!$G$36</f>
        <v>-38416552.984700486</v>
      </c>
      <c r="U25" s="145">
        <f>-'Cronograma de Implantação'!S30*'Premissas Adotadas'!$G$19*'Premissas Adotadas'!$G$36</f>
        <v>-38416552.984700486</v>
      </c>
      <c r="V25" s="145">
        <f>-'Cronograma de Implantação'!T30*'Premissas Adotadas'!$G$19*'Premissas Adotadas'!$G$36</f>
        <v>-38416552.984700486</v>
      </c>
      <c r="W25" s="145">
        <f>-'Cronograma de Implantação'!U30*'Premissas Adotadas'!$G$19*'Premissas Adotadas'!$G$36</f>
        <v>-38416552.984700486</v>
      </c>
      <c r="X25" s="145">
        <f>-'Cronograma de Implantação'!V30*'Premissas Adotadas'!$G$19*'Premissas Adotadas'!$G$36</f>
        <v>-38416552.984700486</v>
      </c>
      <c r="Y25" s="145">
        <f>-'Cronograma de Implantação'!W30*'Premissas Adotadas'!$G$19*'Premissas Adotadas'!$G$36</f>
        <v>-38416552.984700486</v>
      </c>
      <c r="Z25" s="145">
        <f>-'Cronograma de Implantação'!X30*'Premissas Adotadas'!$G$19*'Premissas Adotadas'!$G$36</f>
        <v>-38416552.984700486</v>
      </c>
      <c r="AA25" s="145">
        <f>-'Cronograma de Implantação'!Y30*'Premissas Adotadas'!$G$19*'Premissas Adotadas'!$G$36</f>
        <v>-38416552.984700486</v>
      </c>
      <c r="AB25" s="145">
        <f>-'Cronograma de Implantação'!Z30*'Premissas Adotadas'!$G$19*'Premissas Adotadas'!$G$36</f>
        <v>-38416552.984700486</v>
      </c>
      <c r="AC25" s="145">
        <f>-'Cronograma de Implantação'!AA30*'Premissas Adotadas'!$G$19*'Premissas Adotadas'!$G$36</f>
        <v>-38416552.984700486</v>
      </c>
      <c r="AD25" s="145">
        <f>-'Cronograma de Implantação'!AB30*'Premissas Adotadas'!$G$19*'Premissas Adotadas'!$G$36</f>
        <v>-38416552.984700486</v>
      </c>
      <c r="AE25" s="145">
        <f>-'Cronograma de Implantação'!AC30*'Premissas Adotadas'!$G$19*'Premissas Adotadas'!$G$36</f>
        <v>-38416552.984700486</v>
      </c>
      <c r="AF25" s="145">
        <f>-'Cronograma de Implantação'!AD30*'Premissas Adotadas'!$G$19*'Premissas Adotadas'!$G$36</f>
        <v>-38416552.984700486</v>
      </c>
      <c r="AG25" s="145">
        <f>-'Cronograma de Implantação'!AE30*'Premissas Adotadas'!$G$19*'Premissas Adotadas'!$G$36</f>
        <v>-38416552.984700486</v>
      </c>
      <c r="AH25" s="145">
        <f>-'Cronograma de Implantação'!AF30*'Premissas Adotadas'!$G$19*'Premissas Adotadas'!$G$36</f>
        <v>-38416552.984700486</v>
      </c>
      <c r="AI25" s="145">
        <f>-'Cronograma de Implantação'!AG30*'Premissas Adotadas'!$G$19*'Premissas Adotadas'!$G$36</f>
        <v>-38416552.984700486</v>
      </c>
      <c r="AJ25" s="145">
        <f>-'Cronograma de Implantação'!AH30*'Premissas Adotadas'!$G$19*'Premissas Adotadas'!$G$36</f>
        <v>-38416552.984700486</v>
      </c>
      <c r="AK25" s="145">
        <f>-'Cronograma de Implantação'!AI30*'Premissas Adotadas'!$G$19*'Premissas Adotadas'!$G$36</f>
        <v>-38416552.984700486</v>
      </c>
      <c r="AL25" s="145">
        <f>-'Cronograma de Implantação'!AJ30*'Premissas Adotadas'!$G$19*'Premissas Adotadas'!$G$36</f>
        <v>-38416552.984700486</v>
      </c>
      <c r="AM25" s="145">
        <f>-'Cronograma de Implantação'!AK30*'Premissas Adotadas'!$G$19*'Premissas Adotadas'!$G$36</f>
        <v>-38416552.984700486</v>
      </c>
    </row>
    <row r="26" spans="2:39" x14ac:dyDescent="0.2">
      <c r="B26" s="144" t="s">
        <v>224</v>
      </c>
      <c r="C26" s="190">
        <f t="shared" ref="C26" si="9">SUM(E26:AM26)</f>
        <v>-3642070402.4635577</v>
      </c>
      <c r="D26" s="193"/>
      <c r="E26" s="145">
        <f>-'Cronograma de Implantação'!C38*'Premissas Adotadas'!$G$38-'Cronograma de Implantação'!C50*'Premissas Adotadas'!$D$50</f>
        <v>0</v>
      </c>
      <c r="F26" s="145">
        <f>-'Cronograma de Implantação'!D38*'Premissas Adotadas'!$G$38-'Cronograma de Implantação'!D50*'Premissas Adotadas'!$D$50</f>
        <v>0</v>
      </c>
      <c r="G26" s="145">
        <f>-'Cronograma de Implantação'!E38*'Premissas Adotadas'!$G$38-'Cronograma de Implantação'!E50*'Premissas Adotadas'!$D$50</f>
        <v>-9695676.5224079303</v>
      </c>
      <c r="H26" s="145">
        <f>-'Cronograma de Implantação'!F38*'Premissas Adotadas'!$G$38-'Cronograma de Implantação'!F50*'Premissas Adotadas'!$D$50</f>
        <v>-44635051.377932012</v>
      </c>
      <c r="I26" s="145">
        <f>-'Cronograma de Implantação'!G38*'Premissas Adotadas'!$G$38-'Cronograma de Implantação'!G50*'Premissas Adotadas'!$D$50</f>
        <v>-70900726.425572231</v>
      </c>
      <c r="J26" s="145">
        <f>-'Cronograma de Implantação'!H38*'Premissas Adotadas'!$G$38-'Cronograma de Implantação'!H50*'Premissas Adotadas'!$D$50</f>
        <v>-106390396.43507081</v>
      </c>
      <c r="K26" s="145">
        <f>-'Cronograma de Implantação'!I38*'Premissas Adotadas'!$G$38-'Cronograma de Implantação'!I50*'Premissas Adotadas'!$D$50</f>
        <v>-117439973.73313029</v>
      </c>
      <c r="L26" s="145">
        <f>-'Cronograma de Implantação'!J38*'Premissas Adotadas'!$G$38-'Cronograma de Implantação'!J50*'Premissas Adotadas'!$D$50</f>
        <v>-117439973.73313029</v>
      </c>
      <c r="M26" s="145">
        <f>-'Cronograma de Implantação'!K38*'Premissas Adotadas'!$G$38-'Cronograma de Implantação'!K50*'Premissas Adotadas'!$D$50</f>
        <v>-117439973.73313029</v>
      </c>
      <c r="N26" s="145">
        <f>-'Cronograma de Implantação'!L38*'Premissas Adotadas'!$G$38-'Cronograma de Implantação'!L50*'Premissas Adotadas'!$D$50</f>
        <v>-117439973.73313029</v>
      </c>
      <c r="O26" s="145">
        <f>-'Cronograma de Implantação'!M38*'Premissas Adotadas'!$G$38-'Cronograma de Implantação'!M50*'Premissas Adotadas'!$D$50</f>
        <v>-117439973.73313029</v>
      </c>
      <c r="P26" s="145">
        <f>-'Cronograma de Implantação'!N38*'Premissas Adotadas'!$G$38-'Cronograma de Implantação'!N50*'Premissas Adotadas'!$D$50</f>
        <v>-117439973.73313029</v>
      </c>
      <c r="Q26" s="145">
        <f>-'Cronograma de Implantação'!O38*'Premissas Adotadas'!$G$38-'Cronograma de Implantação'!O50*'Premissas Adotadas'!$D$50</f>
        <v>-117439973.73313029</v>
      </c>
      <c r="R26" s="145">
        <f>-'Cronograma de Implantação'!P38*'Premissas Adotadas'!$G$38-'Cronograma de Implantação'!P50*'Premissas Adotadas'!$D$50</f>
        <v>-117439973.73313029</v>
      </c>
      <c r="S26" s="145">
        <f>-'Cronograma de Implantação'!Q38*'Premissas Adotadas'!$G$38-'Cronograma de Implantação'!Q50*'Premissas Adotadas'!$D$50</f>
        <v>-117439973.73313029</v>
      </c>
      <c r="T26" s="145">
        <f>-'Cronograma de Implantação'!R38*'Premissas Adotadas'!$G$38-'Cronograma de Implantação'!R50*'Premissas Adotadas'!$D$50</f>
        <v>-117439973.73313029</v>
      </c>
      <c r="U26" s="145">
        <f>-'Cronograma de Implantação'!S38*'Premissas Adotadas'!$G$38-'Cronograma de Implantação'!S50*'Premissas Adotadas'!$D$50</f>
        <v>-117439973.73313029</v>
      </c>
      <c r="V26" s="145">
        <f>-'Cronograma de Implantação'!T38*'Premissas Adotadas'!$G$38-'Cronograma de Implantação'!T50*'Premissas Adotadas'!$D$50</f>
        <v>-119003078.2137285</v>
      </c>
      <c r="W26" s="145">
        <f>-'Cronograma de Implantação'!U38*'Premissas Adotadas'!$G$38-'Cronograma de Implantação'!U50*'Premissas Adotadas'!$D$50</f>
        <v>-117439973.73313029</v>
      </c>
      <c r="X26" s="145">
        <f>-'Cronograma de Implantação'!V38*'Premissas Adotadas'!$G$38-'Cronograma de Implantação'!V50*'Premissas Adotadas'!$D$50</f>
        <v>-119003078.2137285</v>
      </c>
      <c r="Y26" s="145">
        <f>-'Cronograma de Implantação'!W38*'Premissas Adotadas'!$G$38-'Cronograma de Implantação'!W50*'Premissas Adotadas'!$D$50</f>
        <v>-117439973.73313029</v>
      </c>
      <c r="Z26" s="145">
        <f>-'Cronograma de Implantação'!X38*'Premissas Adotadas'!$G$38-'Cronograma de Implantação'!X50*'Premissas Adotadas'!$D$50</f>
        <v>-119003078.2137285</v>
      </c>
      <c r="AA26" s="145">
        <f>-'Cronograma de Implantação'!Y38*'Premissas Adotadas'!$G$38-'Cronograma de Implantação'!Y50*'Premissas Adotadas'!$D$50</f>
        <v>-117439973.73313029</v>
      </c>
      <c r="AB26" s="145">
        <f>-'Cronograma de Implantação'!Z38*'Premissas Adotadas'!$G$38-'Cronograma de Implantação'!Z50*'Premissas Adotadas'!$D$50</f>
        <v>-117439973.73313029</v>
      </c>
      <c r="AC26" s="145">
        <f>-'Cronograma de Implantação'!AA38*'Premissas Adotadas'!$G$38-'Cronograma de Implantação'!AA50*'Premissas Adotadas'!$D$50</f>
        <v>-117439973.73313029</v>
      </c>
      <c r="AD26" s="145">
        <f>-'Cronograma de Implantação'!AB38*'Premissas Adotadas'!$G$38-'Cronograma de Implantação'!AB50*'Premissas Adotadas'!$D$50</f>
        <v>-117439973.73313029</v>
      </c>
      <c r="AE26" s="145">
        <f>-'Cronograma de Implantação'!AC38*'Premissas Adotadas'!$G$38-'Cronograma de Implantação'!AC50*'Premissas Adotadas'!$D$50</f>
        <v>-117439973.73313029</v>
      </c>
      <c r="AF26" s="145">
        <f>-'Cronograma de Implantação'!AD38*'Premissas Adotadas'!$G$38-'Cronograma de Implantação'!AD50*'Premissas Adotadas'!$D$50</f>
        <v>-117439973.73313029</v>
      </c>
      <c r="AG26" s="145">
        <f>-'Cronograma de Implantação'!AE38*'Premissas Adotadas'!$G$38-'Cronograma de Implantação'!AE50*'Premissas Adotadas'!$D$50</f>
        <v>-117439973.73313029</v>
      </c>
      <c r="AH26" s="145">
        <f>-'Cronograma de Implantação'!AF38*'Premissas Adotadas'!$G$38-'Cronograma de Implantação'!AF50*'Premissas Adotadas'!$D$50</f>
        <v>-117439973.73313029</v>
      </c>
      <c r="AI26" s="145">
        <f>-'Cronograma de Implantação'!AG38*'Premissas Adotadas'!$G$38-'Cronograma de Implantação'!AG50*'Premissas Adotadas'!$D$50</f>
        <v>-117439973.73313029</v>
      </c>
      <c r="AJ26" s="145">
        <f>-'Cronograma de Implantação'!AH38*'Premissas Adotadas'!$G$38-'Cronograma de Implantação'!AH50*'Premissas Adotadas'!$D$50</f>
        <v>-117439973.73313029</v>
      </c>
      <c r="AK26" s="145">
        <f>-'Cronograma de Implantação'!AI38*'Premissas Adotadas'!$G$38-'Cronograma de Implantação'!AI50*'Premissas Adotadas'!$D$50</f>
        <v>-117439973.73313029</v>
      </c>
      <c r="AL26" s="145">
        <f>-'Cronograma de Implantação'!AJ38*'Premissas Adotadas'!$G$38-'Cronograma de Implantação'!AJ50*'Premissas Adotadas'!$D$50</f>
        <v>-117439973.73313029</v>
      </c>
      <c r="AM26" s="145">
        <f>-'Cronograma de Implantação'!AK38*'Premissas Adotadas'!$G$38-'Cronograma de Implantação'!AK50*'Premissas Adotadas'!$D$50</f>
        <v>-117439973.73313029</v>
      </c>
    </row>
    <row r="27" spans="2:39" x14ac:dyDescent="0.2">
      <c r="B27" s="144" t="s">
        <v>225</v>
      </c>
      <c r="C27" s="190">
        <f t="shared" si="8"/>
        <v>-383515171.66472399</v>
      </c>
      <c r="D27" s="193"/>
      <c r="E27" s="145">
        <f>-'Cronograma de Implantação'!C42*'Premissas Adotadas'!$G$39-'Cronograma de Implantação'!C56*'Premissas Adotadas'!$D$51</f>
        <v>0</v>
      </c>
      <c r="F27" s="145">
        <f>-'Cronograma de Implantação'!D42*'Premissas Adotadas'!$G$39-'Cronograma de Implantação'!D56*'Premissas Adotadas'!$D$51</f>
        <v>0</v>
      </c>
      <c r="G27" s="145">
        <f>-'Cronograma de Implantação'!E42*'Premissas Adotadas'!$G$39-'Cronograma de Implantação'!E56*'Premissas Adotadas'!$D$51</f>
        <v>-1018281.2096430925</v>
      </c>
      <c r="H27" s="145">
        <f>-'Cronograma de Implantação'!F42*'Premissas Adotadas'!$G$39-'Cronograma de Implantação'!F56*'Premissas Adotadas'!$D$51</f>
        <v>-4687763.0461947788</v>
      </c>
      <c r="I27" s="145">
        <f>-'Cronograma de Implantação'!G42*'Premissas Adotadas'!$G$39-'Cronograma de Implantação'!G56*'Premissas Adotadas'!$D$51</f>
        <v>-7446296.0168225076</v>
      </c>
      <c r="J27" s="145">
        <f>-'Cronograma de Implantação'!H42*'Premissas Adotadas'!$G$39-'Cronograma de Implantação'!H56*'Premissas Adotadas'!$D$51</f>
        <v>-11173572.19229988</v>
      </c>
      <c r="K27" s="145">
        <f>-'Cronograma de Implantação'!I42*'Premissas Adotadas'!$G$39-'Cronograma de Implantação'!I56*'Premissas Adotadas'!$D$51</f>
        <v>-12334045.823109351</v>
      </c>
      <c r="L27" s="145">
        <f>-'Cronograma de Implantação'!J42*'Premissas Adotadas'!$G$39-'Cronograma de Implantação'!J56*'Premissas Adotadas'!$D$51</f>
        <v>-12334045.823109351</v>
      </c>
      <c r="M27" s="145">
        <f>-'Cronograma de Implantação'!K42*'Premissas Adotadas'!$G$39-'Cronograma de Implantação'!K56*'Premissas Adotadas'!$D$51</f>
        <v>-12334045.823109351</v>
      </c>
      <c r="N27" s="145">
        <f>-'Cronograma de Implantação'!L42*'Premissas Adotadas'!$G$39-'Cronograma de Implantação'!L56*'Premissas Adotadas'!$D$51</f>
        <v>-12334045.823109351</v>
      </c>
      <c r="O27" s="145">
        <f>-'Cronograma de Implantação'!M42*'Premissas Adotadas'!$G$39-'Cronograma de Implantação'!M56*'Premissas Adotadas'!$D$51</f>
        <v>-12334045.823109351</v>
      </c>
      <c r="P27" s="145">
        <f>-'Cronograma de Implantação'!N42*'Premissas Adotadas'!$G$39-'Cronograma de Implantação'!N56*'Premissas Adotadas'!$D$51</f>
        <v>-12334045.823109351</v>
      </c>
      <c r="Q27" s="145">
        <f>-'Cronograma de Implantação'!O42*'Premissas Adotadas'!$G$39-'Cronograma de Implantação'!O56*'Premissas Adotadas'!$D$51</f>
        <v>-12334045.823109351</v>
      </c>
      <c r="R27" s="145">
        <f>-'Cronograma de Implantação'!P42*'Premissas Adotadas'!$G$39-'Cronograma de Implantação'!P56*'Premissas Adotadas'!$D$51</f>
        <v>-12334045.823109351</v>
      </c>
      <c r="S27" s="145">
        <f>-'Cronograma de Implantação'!Q42*'Premissas Adotadas'!$G$39-'Cronograma de Implantação'!Q56*'Premissas Adotadas'!$D$51</f>
        <v>-12334045.823109351</v>
      </c>
      <c r="T27" s="145">
        <f>-'Cronograma de Implantação'!R42*'Premissas Adotadas'!$G$39-'Cronograma de Implantação'!R56*'Premissas Adotadas'!$D$51</f>
        <v>-12334045.823109351</v>
      </c>
      <c r="U27" s="145">
        <f>-'Cronograma de Implantação'!S42*'Premissas Adotadas'!$G$39-'Cronograma de Implantação'!S56*'Premissas Adotadas'!$D$51</f>
        <v>-12334045.823109351</v>
      </c>
      <c r="V27" s="145">
        <f>-'Cronograma de Implantação'!T42*'Premissas Adotadas'!$G$39-'Cronograma de Implantação'!T56*'Premissas Adotadas'!$D$51</f>
        <v>-12334045.823109351</v>
      </c>
      <c r="W27" s="145">
        <f>-'Cronograma de Implantação'!U42*'Premissas Adotadas'!$G$39-'Cronograma de Implantação'!U56*'Premissas Adotadas'!$D$51</f>
        <v>-12834689.266306896</v>
      </c>
      <c r="X27" s="145">
        <f>-'Cronograma de Implantação'!V42*'Premissas Adotadas'!$G$39-'Cronograma de Implantação'!V56*'Premissas Adotadas'!$D$51</f>
        <v>-12334045.823109351</v>
      </c>
      <c r="Y27" s="145">
        <f>-'Cronograma de Implantação'!W42*'Premissas Adotadas'!$G$39-'Cronograma de Implantação'!W56*'Premissas Adotadas'!$D$51</f>
        <v>-12334045.823109351</v>
      </c>
      <c r="Z27" s="145">
        <f>-'Cronograma de Implantação'!X42*'Premissas Adotadas'!$G$39-'Cronograma de Implantação'!X56*'Premissas Adotadas'!$D$51</f>
        <v>-12334045.823109351</v>
      </c>
      <c r="AA27" s="145">
        <f>-'Cronograma de Implantação'!Y42*'Premissas Adotadas'!$G$39-'Cronograma de Implantação'!Y56*'Premissas Adotadas'!$D$51</f>
        <v>-12834689.266306896</v>
      </c>
      <c r="AB27" s="145">
        <f>-'Cronograma de Implantação'!Z42*'Premissas Adotadas'!$G$39-'Cronograma de Implantação'!Z56*'Premissas Adotadas'!$D$51</f>
        <v>-12334045.823109351</v>
      </c>
      <c r="AC27" s="145">
        <f>-'Cronograma de Implantação'!AA42*'Premissas Adotadas'!$G$39-'Cronograma de Implantação'!AA56*'Premissas Adotadas'!$D$51</f>
        <v>-12834689.266306896</v>
      </c>
      <c r="AD27" s="145">
        <f>-'Cronograma de Implantação'!AB42*'Premissas Adotadas'!$G$39-'Cronograma de Implantação'!AB56*'Premissas Adotadas'!$D$51</f>
        <v>-12334045.823109351</v>
      </c>
      <c r="AE27" s="145">
        <f>-'Cronograma de Implantação'!AC42*'Premissas Adotadas'!$G$39-'Cronograma de Implantação'!AC56*'Premissas Adotadas'!$D$51</f>
        <v>-12334045.823109351</v>
      </c>
      <c r="AF27" s="145">
        <f>-'Cronograma de Implantação'!AD42*'Premissas Adotadas'!$G$39-'Cronograma de Implantação'!AD56*'Premissas Adotadas'!$D$51</f>
        <v>-12334045.823109351</v>
      </c>
      <c r="AG27" s="145">
        <f>-'Cronograma de Implantação'!AE42*'Premissas Adotadas'!$G$39-'Cronograma de Implantação'!AE56*'Premissas Adotadas'!$D$51</f>
        <v>-12334045.823109351</v>
      </c>
      <c r="AH27" s="145">
        <f>-'Cronograma de Implantação'!AF42*'Premissas Adotadas'!$G$39-'Cronograma de Implantação'!AF56*'Premissas Adotadas'!$D$51</f>
        <v>-12334045.823109351</v>
      </c>
      <c r="AI27" s="145">
        <f>-'Cronograma de Implantação'!AG42*'Premissas Adotadas'!$G$39-'Cronograma de Implantação'!AG56*'Premissas Adotadas'!$D$51</f>
        <v>-12334045.823109351</v>
      </c>
      <c r="AJ27" s="145">
        <f>-'Cronograma de Implantação'!AH42*'Premissas Adotadas'!$G$39-'Cronograma de Implantação'!AH56*'Premissas Adotadas'!$D$51</f>
        <v>-12334045.823109351</v>
      </c>
      <c r="AK27" s="145">
        <f>-'Cronograma de Implantação'!AI42*'Premissas Adotadas'!$G$39-'Cronograma de Implantação'!AI56*'Premissas Adotadas'!$D$51</f>
        <v>-12334045.823109351</v>
      </c>
      <c r="AL27" s="145">
        <f>-'Cronograma de Implantação'!AJ42*'Premissas Adotadas'!$G$39-'Cronograma de Implantação'!AJ56*'Premissas Adotadas'!$D$51</f>
        <v>-12334045.823109351</v>
      </c>
      <c r="AM27" s="145">
        <f>-'Cronograma de Implantação'!AK42*'Premissas Adotadas'!$G$39-'Cronograma de Implantação'!AK56*'Premissas Adotadas'!$D$51</f>
        <v>-12334045.823109351</v>
      </c>
    </row>
    <row r="28" spans="2:39" x14ac:dyDescent="0.2">
      <c r="B28" s="144" t="s">
        <v>226</v>
      </c>
      <c r="C28" s="190">
        <f t="shared" ref="C28" si="10">SUM(E28:AM28)</f>
        <v>-388163566.26679885</v>
      </c>
      <c r="D28" s="193"/>
      <c r="E28" s="145">
        <f>-'Cronograma de Implantação'!C46*'Premissas Adotadas'!$G$40-'Cronograma de Implantação'!C62*'Premissas Adotadas'!$D$52</f>
        <v>0</v>
      </c>
      <c r="F28" s="145">
        <f>-'Cronograma de Implantação'!D46*'Premissas Adotadas'!$G$40-'Cronograma de Implantação'!D62*'Premissas Adotadas'!$D$52</f>
        <v>0</v>
      </c>
      <c r="G28" s="145">
        <f>-'Cronograma de Implantação'!E46*'Premissas Adotadas'!$G$40-'Cronograma de Implantação'!E62*'Premissas Adotadas'!$D$52</f>
        <v>-1002756.8448399431</v>
      </c>
      <c r="H28" s="145">
        <f>-'Cronograma de Implantação'!F46*'Premissas Adotadas'!$G$40-'Cronograma de Implantação'!F62*'Premissas Adotadas'!$D$52</f>
        <v>-4616295.0244433433</v>
      </c>
      <c r="I28" s="145">
        <f>-'Cronograma de Implantação'!G46*'Premissas Adotadas'!$G$40-'Cronograma de Implantação'!G62*'Premissas Adotadas'!$D$52</f>
        <v>-7332772.3509601979</v>
      </c>
      <c r="J28" s="145">
        <f>-'Cronograma de Implantação'!H46*'Premissas Adotadas'!$G$40-'Cronograma de Implantação'!H62*'Premissas Adotadas'!$D$52</f>
        <v>-11003223.75689235</v>
      </c>
      <c r="K28" s="145">
        <f>-'Cronograma de Implantação'!I46*'Premissas Adotadas'!$G$40-'Cronograma de Implantação'!I62*'Premissas Adotadas'!$D$52</f>
        <v>-12146005.206191923</v>
      </c>
      <c r="L28" s="145">
        <f>-'Cronograma de Implantação'!J46*'Premissas Adotadas'!$G$40-'Cronograma de Implantação'!J62*'Premissas Adotadas'!$D$52</f>
        <v>-13476490.462869417</v>
      </c>
      <c r="M28" s="145">
        <f>-'Cronograma de Implantação'!K46*'Premissas Adotadas'!$G$40-'Cronograma de Implantação'!K62*'Premissas Adotadas'!$D$52</f>
        <v>-13476490.462869417</v>
      </c>
      <c r="N28" s="145">
        <f>-'Cronograma de Implantação'!L46*'Premissas Adotadas'!$G$40-'Cronograma de Implantação'!L62*'Premissas Adotadas'!$D$52</f>
        <v>-13476490.462869417</v>
      </c>
      <c r="O28" s="145">
        <f>-'Cronograma de Implantação'!M46*'Premissas Adotadas'!$G$40-'Cronograma de Implantação'!M62*'Premissas Adotadas'!$D$52</f>
        <v>-12146005.206191923</v>
      </c>
      <c r="P28" s="145">
        <f>-'Cronograma de Implantação'!N46*'Premissas Adotadas'!$G$40-'Cronograma de Implantação'!N62*'Premissas Adotadas'!$D$52</f>
        <v>-12146005.206191923</v>
      </c>
      <c r="Q28" s="145">
        <f>-'Cronograma de Implantação'!O46*'Premissas Adotadas'!$G$40-'Cronograma de Implantação'!O62*'Premissas Adotadas'!$D$52</f>
        <v>-12146005.206191923</v>
      </c>
      <c r="R28" s="145">
        <f>-'Cronograma de Implantação'!P46*'Premissas Adotadas'!$G$40-'Cronograma de Implantação'!P62*'Premissas Adotadas'!$D$52</f>
        <v>-12146005.206191923</v>
      </c>
      <c r="S28" s="145">
        <f>-'Cronograma de Implantação'!Q46*'Premissas Adotadas'!$G$40-'Cronograma de Implantação'!Q62*'Premissas Adotadas'!$D$52</f>
        <v>-12146005.206191923</v>
      </c>
      <c r="T28" s="145">
        <f>-'Cronograma de Implantação'!R46*'Premissas Adotadas'!$G$40-'Cronograma de Implantação'!R62*'Premissas Adotadas'!$D$52</f>
        <v>-12146005.206191923</v>
      </c>
      <c r="U28" s="145">
        <f>-'Cronograma de Implantação'!S46*'Premissas Adotadas'!$G$40-'Cronograma de Implantação'!S62*'Premissas Adotadas'!$D$52</f>
        <v>-12146005.206191923</v>
      </c>
      <c r="V28" s="145">
        <f>-'Cronograma de Implantação'!T46*'Premissas Adotadas'!$G$40-'Cronograma de Implantação'!T62*'Premissas Adotadas'!$D$52</f>
        <v>-13476490.462869417</v>
      </c>
      <c r="W28" s="145">
        <f>-'Cronograma de Implantação'!U46*'Premissas Adotadas'!$G$40-'Cronograma de Implantação'!U62*'Premissas Adotadas'!$D$52</f>
        <v>-13476490.462869417</v>
      </c>
      <c r="X28" s="145">
        <f>-'Cronograma de Implantação'!V46*'Premissas Adotadas'!$G$40-'Cronograma de Implantação'!V62*'Premissas Adotadas'!$D$52</f>
        <v>-13476490.462869417</v>
      </c>
      <c r="Y28" s="145">
        <f>-'Cronograma de Implantação'!W46*'Premissas Adotadas'!$G$40-'Cronograma de Implantação'!W62*'Premissas Adotadas'!$D$52</f>
        <v>-12146005.206191923</v>
      </c>
      <c r="Z28" s="145">
        <f>-'Cronograma de Implantação'!X46*'Premissas Adotadas'!$G$40-'Cronograma de Implantação'!X62*'Premissas Adotadas'!$D$52</f>
        <v>-12146005.206191923</v>
      </c>
      <c r="AA28" s="145">
        <f>-'Cronograma de Implantação'!Y46*'Premissas Adotadas'!$G$40-'Cronograma de Implantação'!Y62*'Premissas Adotadas'!$D$52</f>
        <v>-12146005.206191923</v>
      </c>
      <c r="AB28" s="145">
        <f>-'Cronograma de Implantação'!Z46*'Premissas Adotadas'!$G$40-'Cronograma de Implantação'!Z62*'Premissas Adotadas'!$D$52</f>
        <v>-12146005.206191923</v>
      </c>
      <c r="AC28" s="145">
        <f>-'Cronograma de Implantação'!AA46*'Premissas Adotadas'!$G$40-'Cronograma de Implantação'!AA62*'Premissas Adotadas'!$D$52</f>
        <v>-12146005.206191923</v>
      </c>
      <c r="AD28" s="145">
        <f>-'Cronograma de Implantação'!AB46*'Premissas Adotadas'!$G$40-'Cronograma de Implantação'!AB62*'Premissas Adotadas'!$D$52</f>
        <v>-12146005.206191923</v>
      </c>
      <c r="AE28" s="145">
        <f>-'Cronograma de Implantação'!AC46*'Premissas Adotadas'!$G$40-'Cronograma de Implantação'!AC62*'Premissas Adotadas'!$D$52</f>
        <v>-12146005.206191923</v>
      </c>
      <c r="AF28" s="145">
        <f>-'Cronograma de Implantação'!AD46*'Premissas Adotadas'!$G$40-'Cronograma de Implantação'!AD62*'Premissas Adotadas'!$D$52</f>
        <v>-13476490.462869417</v>
      </c>
      <c r="AG28" s="145">
        <f>-'Cronograma de Implantação'!AE46*'Premissas Adotadas'!$G$40-'Cronograma de Implantação'!AE62*'Premissas Adotadas'!$D$52</f>
        <v>-13476490.462869417</v>
      </c>
      <c r="AH28" s="145">
        <f>-'Cronograma de Implantação'!AF46*'Premissas Adotadas'!$G$40-'Cronograma de Implantação'!AF62*'Premissas Adotadas'!$D$52</f>
        <v>-13476490.462869417</v>
      </c>
      <c r="AI28" s="145">
        <f>-'Cronograma de Implantação'!AG46*'Premissas Adotadas'!$G$40-'Cronograma de Implantação'!AG62*'Premissas Adotadas'!$D$52</f>
        <v>-12146005.206191923</v>
      </c>
      <c r="AJ28" s="145">
        <f>-'Cronograma de Implantação'!AH46*'Premissas Adotadas'!$G$40-'Cronograma de Implantação'!AH62*'Premissas Adotadas'!$D$52</f>
        <v>-12146005.206191923</v>
      </c>
      <c r="AK28" s="145">
        <f>-'Cronograma de Implantação'!AI46*'Premissas Adotadas'!$G$40-'Cronograma de Implantação'!AI62*'Premissas Adotadas'!$D$52</f>
        <v>-12146005.206191923</v>
      </c>
      <c r="AL28" s="145">
        <f>-'Cronograma de Implantação'!AJ46*'Premissas Adotadas'!$G$40-'Cronograma de Implantação'!AJ62*'Premissas Adotadas'!$D$52</f>
        <v>-12146005.206191923</v>
      </c>
      <c r="AM28" s="145">
        <f>-'Cronograma de Implantação'!AK46*'Premissas Adotadas'!$G$40-'Cronograma de Implantação'!AK62*'Premissas Adotadas'!$D$52</f>
        <v>-12146005.206191923</v>
      </c>
    </row>
    <row r="29" spans="2:39" x14ac:dyDescent="0.2">
      <c r="B29" s="144" t="s">
        <v>70</v>
      </c>
      <c r="C29" s="190">
        <f t="shared" si="8"/>
        <v>-93125073.333028212</v>
      </c>
      <c r="D29" s="193"/>
      <c r="E29" s="145">
        <f>-(('Cronograma de Implantação'!C22*'Premissas Adotadas'!$G$17*'Premissas Adotadas'!$E$56)+('Cronograma de Implantação'!C26*'Premissas Adotadas'!$G$18*'Premissas Adotadas'!$E$57)+('Cronograma de Implantação'!C30*'Premissas Adotadas'!$G$19*'Premissas Adotadas'!$E$58)+('Cronograma de Implantação'!C38*'Premissas Adotadas'!$G$21*'Premissas Adotadas'!$E$59)+('Cronograma de Implantação'!C42*'Premissas Adotadas'!$G$22*'Premissas Adotadas'!$E$60)+('Cronograma de Implantação'!C46*'Premissas Adotadas'!$G$23*'Premissas Adotadas'!$E$61))</f>
        <v>0</v>
      </c>
      <c r="F29" s="145">
        <f>-(('Cronograma de Implantação'!D22*'Premissas Adotadas'!$G$17*'Premissas Adotadas'!$E$56)+('Cronograma de Implantação'!D26*'Premissas Adotadas'!$G$18*'Premissas Adotadas'!$E$57)+('Cronograma de Implantação'!D30*'Premissas Adotadas'!$G$19*'Premissas Adotadas'!$E$58)+('Cronograma de Implantação'!D38*'Premissas Adotadas'!$G$21*'Premissas Adotadas'!$E$59)+('Cronograma de Implantação'!D42*'Premissas Adotadas'!$G$22*'Premissas Adotadas'!$E$60)+('Cronograma de Implantação'!D46*'Premissas Adotadas'!$G$23*'Premissas Adotadas'!$E$61))</f>
        <v>0</v>
      </c>
      <c r="G29" s="145">
        <f>-(('Cronograma de Implantação'!E22*'Premissas Adotadas'!$G$17*'Premissas Adotadas'!$E$56)+('Cronograma de Implantação'!E26*'Premissas Adotadas'!$G$18*'Premissas Adotadas'!$E$57)+('Cronograma de Implantação'!E30*'Premissas Adotadas'!$G$19*'Premissas Adotadas'!$E$58)+('Cronograma de Implantação'!E38*'Premissas Adotadas'!$G$21*'Premissas Adotadas'!$E$59)+('Cronograma de Implantação'!E42*'Premissas Adotadas'!$G$22*'Premissas Adotadas'!$E$60)+('Cronograma de Implantação'!E46*'Premissas Adotadas'!$G$23*'Premissas Adotadas'!$E$61))</f>
        <v>-248230.95657688918</v>
      </c>
      <c r="H29" s="145">
        <f>-(('Cronograma de Implantação'!F22*'Premissas Adotadas'!$G$17*'Premissas Adotadas'!$E$56)+('Cronograma de Implantação'!F26*'Premissas Adotadas'!$G$18*'Premissas Adotadas'!$E$57)+('Cronograma de Implantação'!F30*'Premissas Adotadas'!$G$19*'Premissas Adotadas'!$E$58)+('Cronograma de Implantação'!F38*'Premissas Adotadas'!$G$21*'Premissas Adotadas'!$E$59)+('Cronograma de Implantação'!F42*'Premissas Adotadas'!$G$22*'Premissas Adotadas'!$E$60)+('Cronograma de Implantação'!F46*'Premissas Adotadas'!$G$23*'Premissas Adotadas'!$E$61))</f>
        <v>-1142756.9262233367</v>
      </c>
      <c r="I29" s="145">
        <f>-(('Cronograma de Implantação'!G22*'Premissas Adotadas'!$G$17*'Premissas Adotadas'!$E$56)+('Cronograma de Implantação'!G26*'Premissas Adotadas'!$G$18*'Premissas Adotadas'!$E$57)+('Cronograma de Implantação'!G30*'Premissas Adotadas'!$G$19*'Premissas Adotadas'!$E$58)+('Cronograma de Implantação'!G38*'Premissas Adotadas'!$G$21*'Premissas Adotadas'!$E$59)+('Cronograma de Implantação'!G42*'Premissas Adotadas'!$G$22*'Premissas Adotadas'!$E$60)+('Cronograma de Implantação'!G46*'Premissas Adotadas'!$G$23*'Premissas Adotadas'!$E$61))</f>
        <v>-1815216.8239050535</v>
      </c>
      <c r="J29" s="145">
        <f>-(('Cronograma de Implantação'!H22*'Premissas Adotadas'!$G$17*'Premissas Adotadas'!$E$56)+('Cronograma de Implantação'!H26*'Premissas Adotadas'!$G$18*'Premissas Adotadas'!$E$57)+('Cronograma de Implantação'!H30*'Premissas Adotadas'!$G$19*'Premissas Adotadas'!$E$58)+('Cronograma de Implantação'!H38*'Premissas Adotadas'!$G$21*'Premissas Adotadas'!$E$59)+('Cronograma de Implantação'!H42*'Premissas Adotadas'!$G$22*'Premissas Adotadas'!$E$60)+('Cronograma de Implantação'!H46*'Premissas Adotadas'!$G$23*'Premissas Adotadas'!$E$61))</f>
        <v>-2723831.5775734331</v>
      </c>
      <c r="K29" s="145">
        <f>-(('Cronograma de Implantação'!I22*'Premissas Adotadas'!$G$17*'Premissas Adotadas'!$E$56)+('Cronograma de Implantação'!I26*'Premissas Adotadas'!$G$18*'Premissas Adotadas'!$E$57)+('Cronograma de Implantação'!I30*'Premissas Adotadas'!$G$19*'Premissas Adotadas'!$E$58)+('Cronograma de Implantação'!I38*'Premissas Adotadas'!$G$21*'Premissas Adotadas'!$E$59)+('Cronograma de Implantação'!I42*'Premissas Adotadas'!$G$22*'Premissas Adotadas'!$E$60)+('Cronograma de Implantação'!I46*'Premissas Adotadas'!$G$23*'Premissas Adotadas'!$E$61))</f>
        <v>-3006725.4154741215</v>
      </c>
      <c r="L29" s="145">
        <f>-(('Cronograma de Implantação'!J22*'Premissas Adotadas'!$G$17*'Premissas Adotadas'!$E$56)+('Cronograma de Implantação'!J26*'Premissas Adotadas'!$G$18*'Premissas Adotadas'!$E$57)+('Cronograma de Implantação'!J30*'Premissas Adotadas'!$G$19*'Premissas Adotadas'!$E$58)+('Cronograma de Implantação'!J38*'Premissas Adotadas'!$G$21*'Premissas Adotadas'!$E$59)+('Cronograma de Implantação'!J42*'Premissas Adotadas'!$G$22*'Premissas Adotadas'!$E$60)+('Cronograma de Implantação'!J46*'Premissas Adotadas'!$G$23*'Premissas Adotadas'!$E$61))</f>
        <v>-3006725.4154741215</v>
      </c>
      <c r="M29" s="145">
        <f>-(('Cronograma de Implantação'!K22*'Premissas Adotadas'!$G$17*'Premissas Adotadas'!$E$56)+('Cronograma de Implantação'!K26*'Premissas Adotadas'!$G$18*'Premissas Adotadas'!$E$57)+('Cronograma de Implantação'!K30*'Premissas Adotadas'!$G$19*'Premissas Adotadas'!$E$58)+('Cronograma de Implantação'!K38*'Premissas Adotadas'!$G$21*'Premissas Adotadas'!$E$59)+('Cronograma de Implantação'!K42*'Premissas Adotadas'!$G$22*'Premissas Adotadas'!$E$60)+('Cronograma de Implantação'!K46*'Premissas Adotadas'!$G$23*'Premissas Adotadas'!$E$61))</f>
        <v>-3006725.4154741215</v>
      </c>
      <c r="N29" s="145">
        <f>-(('Cronograma de Implantação'!L22*'Premissas Adotadas'!$G$17*'Premissas Adotadas'!$E$56)+('Cronograma de Implantação'!L26*'Premissas Adotadas'!$G$18*'Premissas Adotadas'!$E$57)+('Cronograma de Implantação'!L30*'Premissas Adotadas'!$G$19*'Premissas Adotadas'!$E$58)+('Cronograma de Implantação'!L38*'Premissas Adotadas'!$G$21*'Premissas Adotadas'!$E$59)+('Cronograma de Implantação'!L42*'Premissas Adotadas'!$G$22*'Premissas Adotadas'!$E$60)+('Cronograma de Implantação'!L46*'Premissas Adotadas'!$G$23*'Premissas Adotadas'!$E$61))</f>
        <v>-3006725.4154741215</v>
      </c>
      <c r="O29" s="145">
        <f>-(('Cronograma de Implantação'!M22*'Premissas Adotadas'!$G$17*'Premissas Adotadas'!$E$56)+('Cronograma de Implantação'!M26*'Premissas Adotadas'!$G$18*'Premissas Adotadas'!$E$57)+('Cronograma de Implantação'!M30*'Premissas Adotadas'!$G$19*'Premissas Adotadas'!$E$58)+('Cronograma de Implantação'!M38*'Premissas Adotadas'!$G$21*'Premissas Adotadas'!$E$59)+('Cronograma de Implantação'!M42*'Premissas Adotadas'!$G$22*'Premissas Adotadas'!$E$60)+('Cronograma de Implantação'!M46*'Premissas Adotadas'!$G$23*'Premissas Adotadas'!$E$61))</f>
        <v>-3006725.4154741215</v>
      </c>
      <c r="P29" s="146">
        <f t="shared" ref="P29:AM30" si="11">O29</f>
        <v>-3006725.4154741215</v>
      </c>
      <c r="Q29" s="146">
        <f t="shared" si="11"/>
        <v>-3006725.4154741215</v>
      </c>
      <c r="R29" s="146">
        <f t="shared" si="11"/>
        <v>-3006725.4154741215</v>
      </c>
      <c r="S29" s="146">
        <f t="shared" si="11"/>
        <v>-3006725.4154741215</v>
      </c>
      <c r="T29" s="146">
        <f t="shared" si="11"/>
        <v>-3006725.4154741215</v>
      </c>
      <c r="U29" s="146">
        <f t="shared" si="11"/>
        <v>-3006725.4154741215</v>
      </c>
      <c r="V29" s="146">
        <f t="shared" si="11"/>
        <v>-3006725.4154741215</v>
      </c>
      <c r="W29" s="146">
        <f t="shared" si="11"/>
        <v>-3006725.4154741215</v>
      </c>
      <c r="X29" s="146">
        <f t="shared" si="11"/>
        <v>-3006725.4154741215</v>
      </c>
      <c r="Y29" s="146">
        <f t="shared" si="11"/>
        <v>-3006725.4154741215</v>
      </c>
      <c r="Z29" s="146">
        <f t="shared" si="11"/>
        <v>-3006725.4154741215</v>
      </c>
      <c r="AA29" s="146">
        <f t="shared" si="11"/>
        <v>-3006725.4154741215</v>
      </c>
      <c r="AB29" s="146">
        <f t="shared" si="11"/>
        <v>-3006725.4154741215</v>
      </c>
      <c r="AC29" s="146">
        <f t="shared" si="11"/>
        <v>-3006725.4154741215</v>
      </c>
      <c r="AD29" s="146">
        <f t="shared" si="11"/>
        <v>-3006725.4154741215</v>
      </c>
      <c r="AE29" s="146">
        <f t="shared" si="11"/>
        <v>-3006725.4154741215</v>
      </c>
      <c r="AF29" s="146">
        <f t="shared" si="11"/>
        <v>-3006725.4154741215</v>
      </c>
      <c r="AG29" s="146">
        <f t="shared" si="11"/>
        <v>-3006725.4154741215</v>
      </c>
      <c r="AH29" s="146">
        <f t="shared" si="11"/>
        <v>-3006725.4154741215</v>
      </c>
      <c r="AI29" s="146">
        <f t="shared" si="11"/>
        <v>-3006725.4154741215</v>
      </c>
      <c r="AJ29" s="146">
        <f t="shared" si="11"/>
        <v>-3006725.4154741215</v>
      </c>
      <c r="AK29" s="146">
        <f t="shared" si="11"/>
        <v>-3006725.4154741215</v>
      </c>
      <c r="AL29" s="146">
        <f t="shared" si="11"/>
        <v>-3006725.4154741215</v>
      </c>
      <c r="AM29" s="146">
        <f t="shared" si="11"/>
        <v>-3006725.4154741215</v>
      </c>
    </row>
    <row r="30" spans="2:39" x14ac:dyDescent="0.2">
      <c r="B30" s="144" t="s">
        <v>69</v>
      </c>
      <c r="C30" s="190">
        <f t="shared" si="8"/>
        <v>-417639965.53616625</v>
      </c>
      <c r="D30" s="193"/>
      <c r="E30" s="145">
        <f>-'Cronograma de Implantação'!C13*'Premissas Adotadas'!$K$15</f>
        <v>0</v>
      </c>
      <c r="F30" s="145">
        <f>-'Cronograma de Implantação'!D13*'Premissas Adotadas'!$K$15</f>
        <v>0</v>
      </c>
      <c r="G30" s="145">
        <f>-'Cronograma de Implantação'!E13*'Premissas Adotadas'!$K$15</f>
        <v>-1113246.566572238</v>
      </c>
      <c r="H30" s="145">
        <f>-'Cronograma de Implantação'!F13*'Premissas Adotadas'!$K$15</f>
        <v>-5124945.905571294</v>
      </c>
      <c r="I30" s="145">
        <f>-'Cronograma de Implantação'!G13*'Premissas Adotadas'!$K$15</f>
        <v>-8140740.8836638341</v>
      </c>
      <c r="J30" s="145">
        <f>-'Cronograma de Implantação'!H13*'Premissas Adotadas'!$K$15</f>
        <v>-12215624.487252124</v>
      </c>
      <c r="K30" s="145">
        <f>-'Cronograma de Implantação'!I13*'Premissas Adotadas'!$K$15</f>
        <v>-13484324.403210575</v>
      </c>
      <c r="L30" s="145">
        <f>-'Cronograma de Implantação'!J13*'Premissas Adotadas'!$K$15</f>
        <v>-13484324.403210575</v>
      </c>
      <c r="M30" s="145">
        <f>-'Cronograma de Implantação'!K13*'Premissas Adotadas'!$K$15</f>
        <v>-13484324.403210575</v>
      </c>
      <c r="N30" s="145">
        <f>-'Cronograma de Implantação'!L13*'Premissas Adotadas'!$K$15</f>
        <v>-13484324.403210575</v>
      </c>
      <c r="O30" s="145">
        <f>-'Cronograma de Implantação'!M13*'Premissas Adotadas'!$K$15</f>
        <v>-13484324.403210575</v>
      </c>
      <c r="P30" s="146">
        <f t="shared" si="11"/>
        <v>-13484324.403210575</v>
      </c>
      <c r="Q30" s="146">
        <f t="shared" si="11"/>
        <v>-13484324.403210575</v>
      </c>
      <c r="R30" s="146">
        <f t="shared" si="11"/>
        <v>-13484324.403210575</v>
      </c>
      <c r="S30" s="146">
        <f t="shared" si="11"/>
        <v>-13484324.403210575</v>
      </c>
      <c r="T30" s="146">
        <f t="shared" si="11"/>
        <v>-13484324.403210575</v>
      </c>
      <c r="U30" s="146">
        <f t="shared" si="11"/>
        <v>-13484324.403210575</v>
      </c>
      <c r="V30" s="146">
        <f t="shared" si="11"/>
        <v>-13484324.403210575</v>
      </c>
      <c r="W30" s="146">
        <f t="shared" si="11"/>
        <v>-13484324.403210575</v>
      </c>
      <c r="X30" s="146">
        <f t="shared" si="11"/>
        <v>-13484324.403210575</v>
      </c>
      <c r="Y30" s="146">
        <f t="shared" si="11"/>
        <v>-13484324.403210575</v>
      </c>
      <c r="Z30" s="146">
        <f t="shared" si="11"/>
        <v>-13484324.403210575</v>
      </c>
      <c r="AA30" s="146">
        <f t="shared" si="11"/>
        <v>-13484324.403210575</v>
      </c>
      <c r="AB30" s="146">
        <f t="shared" si="11"/>
        <v>-13484324.403210575</v>
      </c>
      <c r="AC30" s="146">
        <f t="shared" si="11"/>
        <v>-13484324.403210575</v>
      </c>
      <c r="AD30" s="146">
        <f t="shared" si="11"/>
        <v>-13484324.403210575</v>
      </c>
      <c r="AE30" s="146">
        <f t="shared" si="11"/>
        <v>-13484324.403210575</v>
      </c>
      <c r="AF30" s="146">
        <f t="shared" si="11"/>
        <v>-13484324.403210575</v>
      </c>
      <c r="AG30" s="146">
        <f t="shared" si="11"/>
        <v>-13484324.403210575</v>
      </c>
      <c r="AH30" s="146">
        <f t="shared" si="11"/>
        <v>-13484324.403210575</v>
      </c>
      <c r="AI30" s="146">
        <f t="shared" si="11"/>
        <v>-13484324.403210575</v>
      </c>
      <c r="AJ30" s="146">
        <f t="shared" si="11"/>
        <v>-13484324.403210575</v>
      </c>
      <c r="AK30" s="146">
        <f t="shared" si="11"/>
        <v>-13484324.403210575</v>
      </c>
      <c r="AL30" s="146">
        <f t="shared" si="11"/>
        <v>-13484324.403210575</v>
      </c>
      <c r="AM30" s="146">
        <f t="shared" si="11"/>
        <v>-13484324.403210575</v>
      </c>
    </row>
    <row r="31" spans="2:39" x14ac:dyDescent="0.2">
      <c r="B31" s="168" t="s">
        <v>18</v>
      </c>
      <c r="C31" s="576">
        <f>SUM(E31:AM31)</f>
        <v>-27650000.000000004</v>
      </c>
      <c r="D31" s="193"/>
      <c r="E31" s="169">
        <f>-'Premissas Adotadas'!$E$12*'Premissas Adotadas'!$L$10*40%</f>
        <v>-11060000.000000004</v>
      </c>
      <c r="F31" s="169">
        <v>0</v>
      </c>
      <c r="G31" s="169">
        <v>0</v>
      </c>
      <c r="H31" s="169">
        <v>0</v>
      </c>
      <c r="I31" s="169">
        <v>0</v>
      </c>
      <c r="J31" s="169">
        <v>0</v>
      </c>
      <c r="K31" s="169">
        <f>-'Premissas Adotadas'!$E$12*'Premissas Adotadas'!$L$10*15%</f>
        <v>-4147500.0000000009</v>
      </c>
      <c r="L31" s="169">
        <f>-'Premissas Adotadas'!$E$12*'Premissas Adotadas'!$L$10*15%</f>
        <v>-4147500.0000000009</v>
      </c>
      <c r="M31" s="169">
        <f>-'Premissas Adotadas'!$E$12*'Premissas Adotadas'!$L$10*15%</f>
        <v>-4147500.0000000009</v>
      </c>
      <c r="N31" s="169">
        <f>-'Premissas Adotadas'!$E$12*'Premissas Adotadas'!$L$10*15%</f>
        <v>-4147500.0000000009</v>
      </c>
      <c r="O31" s="169">
        <v>0</v>
      </c>
      <c r="P31" s="169">
        <v>0</v>
      </c>
      <c r="Q31" s="169">
        <v>0</v>
      </c>
      <c r="R31" s="169">
        <v>0</v>
      </c>
      <c r="S31" s="169">
        <v>0</v>
      </c>
      <c r="T31" s="169">
        <v>0</v>
      </c>
      <c r="U31" s="169">
        <v>0</v>
      </c>
      <c r="V31" s="169">
        <v>0</v>
      </c>
      <c r="W31" s="169">
        <v>0</v>
      </c>
      <c r="X31" s="169">
        <v>0</v>
      </c>
      <c r="Y31" s="169">
        <v>0</v>
      </c>
      <c r="Z31" s="169">
        <v>0</v>
      </c>
      <c r="AA31" s="169">
        <v>0</v>
      </c>
      <c r="AB31" s="169">
        <v>0</v>
      </c>
      <c r="AC31" s="169">
        <v>0</v>
      </c>
      <c r="AD31" s="169">
        <v>0</v>
      </c>
      <c r="AE31" s="169">
        <v>0</v>
      </c>
      <c r="AF31" s="169">
        <v>0</v>
      </c>
      <c r="AG31" s="169">
        <v>0</v>
      </c>
      <c r="AH31" s="169">
        <v>0</v>
      </c>
      <c r="AI31" s="169">
        <v>0</v>
      </c>
      <c r="AJ31" s="169">
        <v>0</v>
      </c>
      <c r="AK31" s="169">
        <v>0</v>
      </c>
      <c r="AL31" s="169">
        <v>0</v>
      </c>
      <c r="AM31" s="169">
        <v>0</v>
      </c>
    </row>
    <row r="32" spans="2:39" x14ac:dyDescent="0.2">
      <c r="B32" s="168" t="s">
        <v>827</v>
      </c>
      <c r="C32" s="190">
        <f>SUM(E32:AM32)</f>
        <v>-40472567.787616104</v>
      </c>
      <c r="D32" s="193"/>
      <c r="E32" s="169">
        <f>-'Meio Ambiente'!F36</f>
        <v>-5066964.2588849999</v>
      </c>
      <c r="F32" s="169">
        <f>-'Meio Ambiente'!G36</f>
        <v>-2595132.7000000002</v>
      </c>
      <c r="G32" s="169">
        <f>-'Meio Ambiente'!H36</f>
        <v>-3005345.6629312378</v>
      </c>
      <c r="H32" s="169">
        <f>-'Meio Ambiente'!I36</f>
        <v>-4073377.6114639202</v>
      </c>
      <c r="I32" s="169">
        <f>-'Meio Ambiente'!J36</f>
        <v>-3718674.9254199686</v>
      </c>
      <c r="J32" s="169">
        <f>-'Meio Ambiente'!K36</f>
        <v>-4099575.9308528416</v>
      </c>
      <c r="K32" s="169">
        <f>-'Meio Ambiente'!L36</f>
        <v>-2197141.6632504645</v>
      </c>
      <c r="L32" s="169">
        <f>-'Meio Ambiente'!M36</f>
        <v>-560846.07999999996</v>
      </c>
      <c r="M32" s="169">
        <f>-'Meio Ambiente'!N36</f>
        <v>-560846.07999999996</v>
      </c>
      <c r="N32" s="169">
        <f>-'Meio Ambiente'!O36</f>
        <v>-560846.07999999996</v>
      </c>
      <c r="O32" s="169">
        <f>-'Meio Ambiente'!P36</f>
        <v>-560846.07999999996</v>
      </c>
      <c r="P32" s="169">
        <f>-'Meio Ambiente'!Q36</f>
        <v>-564012.27870317909</v>
      </c>
      <c r="Q32" s="169">
        <f>-'Meio Ambiente'!R36</f>
        <v>-560846.07999999996</v>
      </c>
      <c r="R32" s="169">
        <f>-'Meio Ambiente'!S36</f>
        <v>-560846.07999999996</v>
      </c>
      <c r="S32" s="169">
        <f>-'Meio Ambiente'!T36</f>
        <v>-560846.07999999996</v>
      </c>
      <c r="T32" s="169">
        <f>-'Meio Ambiente'!U36</f>
        <v>-560846.07999999996</v>
      </c>
      <c r="U32" s="169">
        <f>-'Meio Ambiente'!V36</f>
        <v>-560846.07999999996</v>
      </c>
      <c r="V32" s="169">
        <f>-'Meio Ambiente'!W36</f>
        <v>-564012.27870317909</v>
      </c>
      <c r="W32" s="169">
        <f>-'Meio Ambiente'!X36</f>
        <v>-560846.07999999996</v>
      </c>
      <c r="X32" s="169">
        <f>-'Meio Ambiente'!Y36</f>
        <v>-560846.07999999996</v>
      </c>
      <c r="Y32" s="169">
        <f>-'Meio Ambiente'!Z36</f>
        <v>-560846.07999999996</v>
      </c>
      <c r="Z32" s="169">
        <f>-'Meio Ambiente'!AA36</f>
        <v>-560846.07999999996</v>
      </c>
      <c r="AA32" s="169">
        <f>-'Meio Ambiente'!AB36</f>
        <v>-560846.07999999996</v>
      </c>
      <c r="AB32" s="169">
        <f>-'Meio Ambiente'!AC36</f>
        <v>-564012.27870317909</v>
      </c>
      <c r="AC32" s="169">
        <f>-'Meio Ambiente'!AD36</f>
        <v>-560846.07999999996</v>
      </c>
      <c r="AD32" s="169">
        <f>-'Meio Ambiente'!AE36</f>
        <v>-560846.07999999996</v>
      </c>
      <c r="AE32" s="169">
        <f>-'Meio Ambiente'!AF36</f>
        <v>-560846.07999999996</v>
      </c>
      <c r="AF32" s="169">
        <f>-'Meio Ambiente'!AG36</f>
        <v>-560846.07999999996</v>
      </c>
      <c r="AG32" s="169">
        <f>-'Meio Ambiente'!AH36</f>
        <v>-560846.07999999996</v>
      </c>
      <c r="AH32" s="169">
        <f>-'Meio Ambiente'!AI36</f>
        <v>-564012.27870317909</v>
      </c>
      <c r="AI32" s="169">
        <f>-'Meio Ambiente'!AJ36</f>
        <v>-560846.07999999996</v>
      </c>
      <c r="AJ32" s="169">
        <f>-'Meio Ambiente'!AK36</f>
        <v>-560846.07999999996</v>
      </c>
      <c r="AK32" s="169">
        <f>-'Meio Ambiente'!AL36</f>
        <v>-560846.07999999996</v>
      </c>
      <c r="AL32" s="169">
        <f>-'Meio Ambiente'!AM36</f>
        <v>-560846.07999999996</v>
      </c>
      <c r="AM32" s="169">
        <f>-'Meio Ambiente'!AN36</f>
        <v>-560846.07999999996</v>
      </c>
    </row>
    <row r="33" spans="2:39" x14ac:dyDescent="0.2">
      <c r="B33" s="168" t="s">
        <v>824</v>
      </c>
      <c r="C33" s="190">
        <f>SUM(E33:AM33)</f>
        <v>-248823.41472000035</v>
      </c>
      <c r="D33" s="193"/>
      <c r="E33" s="169">
        <f>IF(E57&lt;&gt;0,'Premissas Adotadas'!$J$43*$C$57*'Premissas Adotadas'!$K$43,0)</f>
        <v>-41470.569120000058</v>
      </c>
      <c r="F33" s="169">
        <f>IF(F57&lt;&gt;0,'Premissas Adotadas'!$J$43*$C$57*'Premissas Adotadas'!$K$43,0)</f>
        <v>-41470.569120000058</v>
      </c>
      <c r="G33" s="169">
        <f>IF(G57&lt;&gt;0,'Premissas Adotadas'!$J$43*$C$57*'Premissas Adotadas'!$K$43,0)</f>
        <v>-41470.569120000058</v>
      </c>
      <c r="H33" s="169">
        <f>IF(H57&lt;&gt;0,'Premissas Adotadas'!$J$43*$C$57*'Premissas Adotadas'!$K$43,0)</f>
        <v>-41470.569120000058</v>
      </c>
      <c r="I33" s="169">
        <f>IF(I57&lt;&gt;0,'Premissas Adotadas'!$J$43*$C$57*'Premissas Adotadas'!$K$43,0)</f>
        <v>-41470.569120000058</v>
      </c>
      <c r="J33" s="169">
        <f>IF(J57&lt;&gt;0,'Premissas Adotadas'!$J$43*$C$57*'Premissas Adotadas'!$K$43,0)</f>
        <v>-41470.569120000058</v>
      </c>
      <c r="K33" s="169">
        <f>IF(K57&lt;&gt;0,'Premissas Adotadas'!$J$43*$C$57*'Premissas Adotadas'!$K$43,0)</f>
        <v>0</v>
      </c>
      <c r="L33" s="169">
        <f>IF(L57&lt;&gt;0,'Premissas Adotadas'!$J$43*$C$57*'Premissas Adotadas'!$K$43,0)</f>
        <v>0</v>
      </c>
      <c r="M33" s="169">
        <f>IF(M57&lt;&gt;0,'Premissas Adotadas'!$J$43*$C$57*'Premissas Adotadas'!$K$43,0)</f>
        <v>0</v>
      </c>
      <c r="N33" s="169">
        <f>IF(N57&lt;&gt;0,'Premissas Adotadas'!$J$43*$C$57*'Premissas Adotadas'!$K$43,0)</f>
        <v>0</v>
      </c>
      <c r="O33" s="169">
        <f>IF(O57&lt;&gt;0,'Premissas Adotadas'!$J$43*$C$57*'Premissas Adotadas'!$K$43,0)</f>
        <v>0</v>
      </c>
      <c r="P33" s="169">
        <f>IF(P57&lt;&gt;0,'Premissas Adotadas'!$J$43*$C$57*'Premissas Adotadas'!$K$43,0)</f>
        <v>0</v>
      </c>
      <c r="Q33" s="169">
        <f>IF(Q57&lt;&gt;0,'Premissas Adotadas'!$J$43*$C$57*'Premissas Adotadas'!$K$43,0)</f>
        <v>0</v>
      </c>
      <c r="R33" s="169">
        <f>IF(R57&lt;&gt;0,'Premissas Adotadas'!$J$43*$C$57*'Premissas Adotadas'!$K$43,0)</f>
        <v>0</v>
      </c>
      <c r="S33" s="169">
        <f>IF(S57&lt;&gt;0,'Premissas Adotadas'!$J$43*$C$57*'Premissas Adotadas'!$K$43,0)</f>
        <v>0</v>
      </c>
      <c r="T33" s="169">
        <f>IF(T57&lt;&gt;0,'Premissas Adotadas'!$J$43*$C$57*'Premissas Adotadas'!$K$43,0)</f>
        <v>0</v>
      </c>
      <c r="U33" s="169">
        <f>IF(U57&lt;&gt;0,'Premissas Adotadas'!$J$43*$C$57*'Premissas Adotadas'!$K$43,0)</f>
        <v>0</v>
      </c>
      <c r="V33" s="169">
        <f>IF(V57&lt;&gt;0,'Premissas Adotadas'!$J$43*$C$57*'Premissas Adotadas'!$K$43,0)</f>
        <v>0</v>
      </c>
      <c r="W33" s="169">
        <f>IF(W57&lt;&gt;0,'Premissas Adotadas'!$J$43*$C$57*'Premissas Adotadas'!$K$43,0)</f>
        <v>0</v>
      </c>
      <c r="X33" s="169">
        <f>IF(X57&lt;&gt;0,'Premissas Adotadas'!$J$43*$C$57*'Premissas Adotadas'!$K$43,0)</f>
        <v>0</v>
      </c>
      <c r="Y33" s="169">
        <f>IF(Y57&lt;&gt;0,'Premissas Adotadas'!$J$43*$C$57*'Premissas Adotadas'!$K$43,0)</f>
        <v>0</v>
      </c>
      <c r="Z33" s="169">
        <f>IF(Z57&lt;&gt;0,'Premissas Adotadas'!$J$43*$C$57*'Premissas Adotadas'!$K$43,0)</f>
        <v>0</v>
      </c>
      <c r="AA33" s="169">
        <f>IF(AA57&lt;&gt;0,'Premissas Adotadas'!$J$43*$C$57*'Premissas Adotadas'!$K$43,0)</f>
        <v>0</v>
      </c>
      <c r="AB33" s="169">
        <f>IF(AB57&lt;&gt;0,'Premissas Adotadas'!$J$43*$C$57*'Premissas Adotadas'!$K$43,0)</f>
        <v>0</v>
      </c>
      <c r="AC33" s="169">
        <f>IF(AC57&lt;&gt;0,'Premissas Adotadas'!$J$43*$C$57*'Premissas Adotadas'!$K$43,0)</f>
        <v>0</v>
      </c>
      <c r="AD33" s="169">
        <f>IF(AD57&lt;&gt;0,'Premissas Adotadas'!$J$43*$C$57*'Premissas Adotadas'!$K$43,0)</f>
        <v>0</v>
      </c>
      <c r="AE33" s="169">
        <f>IF(AE57&lt;&gt;0,'Premissas Adotadas'!$J$43*$C$57*'Premissas Adotadas'!$K$43,0)</f>
        <v>0</v>
      </c>
      <c r="AF33" s="169">
        <f>IF(AF57&lt;&gt;0,'Premissas Adotadas'!$J$43*$C$57*'Premissas Adotadas'!$K$43,0)</f>
        <v>0</v>
      </c>
      <c r="AG33" s="169">
        <f>IF(AG57&lt;&gt;0,'Premissas Adotadas'!$J$43*$C$57*'Premissas Adotadas'!$K$43,0)</f>
        <v>0</v>
      </c>
      <c r="AH33" s="169">
        <f>IF(AH57&lt;&gt;0,'Premissas Adotadas'!$J$43*$C$57*'Premissas Adotadas'!$K$43,0)</f>
        <v>0</v>
      </c>
      <c r="AI33" s="169">
        <f>IF(AI57&lt;&gt;0,'Premissas Adotadas'!$J$43*$C$57*'Premissas Adotadas'!$K$43,0)</f>
        <v>0</v>
      </c>
      <c r="AJ33" s="169">
        <f>IF(AJ57&lt;&gt;0,'Premissas Adotadas'!$J$43*$C$57*'Premissas Adotadas'!$K$43,0)</f>
        <v>0</v>
      </c>
      <c r="AK33" s="169">
        <f>IF(AK57&lt;&gt;0,'Premissas Adotadas'!$J$43*$C$57*'Premissas Adotadas'!$K$43,0)</f>
        <v>0</v>
      </c>
      <c r="AL33" s="169">
        <f>IF(AL57&lt;&gt;0,'Premissas Adotadas'!$J$43*$C$57*'Premissas Adotadas'!$K$43,0)</f>
        <v>0</v>
      </c>
      <c r="AM33" s="169">
        <f>IF(AM57&lt;&gt;0,'Premissas Adotadas'!$J$43*$C$57*'Premissas Adotadas'!$K$43,0)</f>
        <v>0</v>
      </c>
    </row>
    <row r="34" spans="2:39" x14ac:dyDescent="0.2">
      <c r="B34" s="168" t="s">
        <v>825</v>
      </c>
      <c r="C34" s="190">
        <f>SUM(E34:AM34)</f>
        <v>-1392746.3435952032</v>
      </c>
      <c r="D34" s="193"/>
      <c r="E34" s="169">
        <f>'Premissas Adotadas'!$J$44*'Premissas Adotadas'!$K$44*'DemFin Proj'!E56</f>
        <v>-137117.74870860917</v>
      </c>
      <c r="F34" s="169">
        <f>'Premissas Adotadas'!$J$44*'Premissas Adotadas'!$K$44*'DemFin Proj'!F56</f>
        <v>-163460.9205162088</v>
      </c>
      <c r="G34" s="169">
        <f>'Premissas Adotadas'!$J$44*'Premissas Adotadas'!$K$44*'DemFin Proj'!G56</f>
        <v>-168300.5497570126</v>
      </c>
      <c r="H34" s="169">
        <f>'Premissas Adotadas'!$J$44*'Premissas Adotadas'!$K$44*'DemFin Proj'!H56</f>
        <v>-332243.46868084301</v>
      </c>
      <c r="I34" s="169">
        <f>'Premissas Adotadas'!$J$44*'Premissas Adotadas'!$K$44*'DemFin Proj'!I56</f>
        <v>-287531.42154609977</v>
      </c>
      <c r="J34" s="169">
        <f>'Premissas Adotadas'!$J$44*'Premissas Adotadas'!$K$44*'DemFin Proj'!J56</f>
        <v>-235482.35668772185</v>
      </c>
      <c r="K34" s="169">
        <f>'Premissas Adotadas'!$J$44*'Premissas Adotadas'!$K$44*'DemFin Proj'!K56</f>
        <v>-68609.877698708151</v>
      </c>
      <c r="L34" s="169">
        <f>'Premissas Adotadas'!$J$44*'Premissas Adotadas'!$K$44*'DemFin Proj'!L56</f>
        <v>0</v>
      </c>
      <c r="M34" s="169">
        <f>'Premissas Adotadas'!$J$44*'Premissas Adotadas'!$K$44*'DemFin Proj'!M56</f>
        <v>0</v>
      </c>
      <c r="N34" s="169">
        <f>'Premissas Adotadas'!$J$44*'Premissas Adotadas'!$K$44*'DemFin Proj'!N56</f>
        <v>0</v>
      </c>
      <c r="O34" s="169">
        <f>'Premissas Adotadas'!$J$44*'Premissas Adotadas'!$K$44*'DemFin Proj'!O56</f>
        <v>0</v>
      </c>
      <c r="P34" s="169">
        <f>'Premissas Adotadas'!$J$44*'Premissas Adotadas'!$K$44*'DemFin Proj'!P56</f>
        <v>0</v>
      </c>
      <c r="Q34" s="169">
        <f>'Premissas Adotadas'!$J$44*'Premissas Adotadas'!$K$44*'DemFin Proj'!Q56</f>
        <v>0</v>
      </c>
      <c r="R34" s="169">
        <f>'Premissas Adotadas'!$J$44*'Premissas Adotadas'!$K$44*'DemFin Proj'!R56</f>
        <v>0</v>
      </c>
      <c r="S34" s="169">
        <f>'Premissas Adotadas'!$J$44*'Premissas Adotadas'!$K$44*'DemFin Proj'!S56</f>
        <v>0</v>
      </c>
      <c r="T34" s="169">
        <f>'Premissas Adotadas'!$J$44*'Premissas Adotadas'!$K$44*'DemFin Proj'!T56</f>
        <v>0</v>
      </c>
      <c r="U34" s="169">
        <f>'Premissas Adotadas'!$J$44*'Premissas Adotadas'!$K$44*'DemFin Proj'!U56</f>
        <v>0</v>
      </c>
      <c r="V34" s="169">
        <f>'Premissas Adotadas'!$J$44*'Premissas Adotadas'!$K$44*'DemFin Proj'!V56</f>
        <v>0</v>
      </c>
      <c r="W34" s="169">
        <f>'Premissas Adotadas'!$J$44*'Premissas Adotadas'!$K$44*'DemFin Proj'!W56</f>
        <v>0</v>
      </c>
      <c r="X34" s="169">
        <f>'Premissas Adotadas'!$J$44*'Premissas Adotadas'!$K$44*'DemFin Proj'!X56</f>
        <v>0</v>
      </c>
      <c r="Y34" s="169">
        <f>'Premissas Adotadas'!$J$44*'Premissas Adotadas'!$K$44*'DemFin Proj'!Y56</f>
        <v>0</v>
      </c>
      <c r="Z34" s="169">
        <f>'Premissas Adotadas'!$J$44*'Premissas Adotadas'!$K$44*'DemFin Proj'!Z56</f>
        <v>0</v>
      </c>
      <c r="AA34" s="169">
        <f>'Premissas Adotadas'!$J$44*'Premissas Adotadas'!$K$44*'DemFin Proj'!AA56</f>
        <v>0</v>
      </c>
      <c r="AB34" s="169">
        <f>'Premissas Adotadas'!$J$44*'Premissas Adotadas'!$K$44*'DemFin Proj'!AB56</f>
        <v>0</v>
      </c>
      <c r="AC34" s="169">
        <f>'Premissas Adotadas'!$J$44*'Premissas Adotadas'!$K$44*'DemFin Proj'!AC56</f>
        <v>0</v>
      </c>
      <c r="AD34" s="169">
        <f>'Premissas Adotadas'!$J$44*'Premissas Adotadas'!$K$44*'DemFin Proj'!AD56</f>
        <v>0</v>
      </c>
      <c r="AE34" s="169">
        <f>'Premissas Adotadas'!$J$44*'Premissas Adotadas'!$K$44*'DemFin Proj'!AE56</f>
        <v>0</v>
      </c>
      <c r="AF34" s="169">
        <f>'Premissas Adotadas'!$J$44*'Premissas Adotadas'!$K$44*'DemFin Proj'!AF56</f>
        <v>0</v>
      </c>
      <c r="AG34" s="169">
        <f>'Premissas Adotadas'!$J$44*'Premissas Adotadas'!$K$44*'DemFin Proj'!AG56</f>
        <v>0</v>
      </c>
      <c r="AH34" s="169">
        <f>'Premissas Adotadas'!$J$44*'Premissas Adotadas'!$K$44*'DemFin Proj'!AH56</f>
        <v>0</v>
      </c>
      <c r="AI34" s="169">
        <f>'Premissas Adotadas'!$J$44*'Premissas Adotadas'!$K$44*'DemFin Proj'!AI56</f>
        <v>0</v>
      </c>
      <c r="AJ34" s="169">
        <f>'Premissas Adotadas'!$J$44*'Premissas Adotadas'!$K$44*'DemFin Proj'!AJ56</f>
        <v>0</v>
      </c>
      <c r="AK34" s="169">
        <f>'Premissas Adotadas'!$J$44*'Premissas Adotadas'!$K$44*'DemFin Proj'!AK56</f>
        <v>0</v>
      </c>
      <c r="AL34" s="169">
        <f>'Premissas Adotadas'!$J$44*'Premissas Adotadas'!$K$44*'DemFin Proj'!AL56</f>
        <v>0</v>
      </c>
      <c r="AM34" s="169">
        <f>'Premissas Adotadas'!$J$44*'Premissas Adotadas'!$K$44*'DemFin Proj'!AM56</f>
        <v>0</v>
      </c>
    </row>
    <row r="35" spans="2:39" x14ac:dyDescent="0.2">
      <c r="B35" s="168" t="s">
        <v>826</v>
      </c>
      <c r="C35" s="190">
        <f>SUM(E35:AM35)</f>
        <v>-7041517.7077840399</v>
      </c>
      <c r="D35" s="193"/>
      <c r="E35" s="169">
        <f>'Premissas Adotadas'!$J$45*'Premissas Adotadas'!$K$45*SUM(E23:E32)</f>
        <v>-16126.964258885004</v>
      </c>
      <c r="F35" s="169">
        <f>'Premissas Adotadas'!$J$45*'Premissas Adotadas'!$K$45*SUM(F23:F32)</f>
        <v>-2595.1327000000001</v>
      </c>
      <c r="G35" s="169">
        <f>'Premissas Adotadas'!$J$45*'Premissas Adotadas'!$K$45*SUM(G23:G32)</f>
        <v>-21544.963591608346</v>
      </c>
      <c r="H35" s="169">
        <f>'Premissas Adotadas'!$J$45*'Premissas Adotadas'!$K$45*SUM(H23:H32)</f>
        <v>-89422.429517355864</v>
      </c>
      <c r="I35" s="169">
        <f>'Premissas Adotadas'!$J$45*'Premissas Adotadas'!$K$45*SUM(I23:I32)</f>
        <v>-139291.71882368313</v>
      </c>
      <c r="J35" s="169">
        <f>'Premissas Adotadas'!$J$45*'Premissas Adotadas'!$K$45*SUM(J23:J32)</f>
        <v>-207534.30239147192</v>
      </c>
      <c r="K35" s="169">
        <f>'Premissas Adotadas'!$J$45*'Premissas Adotadas'!$K$45*SUM(K23:K32)</f>
        <v>-230907.85161916379</v>
      </c>
      <c r="L35" s="169">
        <f>'Premissas Adotadas'!$J$45*'Premissas Adotadas'!$K$45*SUM(L23:L32)</f>
        <v>-230602.04129259079</v>
      </c>
      <c r="M35" s="169">
        <f>'Premissas Adotadas'!$J$45*'Premissas Adotadas'!$K$45*SUM(M23:M32)</f>
        <v>-230602.04129259079</v>
      </c>
      <c r="N35" s="169">
        <f>'Premissas Adotadas'!$J$45*'Premissas Adotadas'!$K$45*SUM(N23:N32)</f>
        <v>-230602.04129259079</v>
      </c>
      <c r="O35" s="169">
        <f>'Premissas Adotadas'!$J$45*'Premissas Adotadas'!$K$45*SUM(O23:O32)</f>
        <v>-225124.05603591332</v>
      </c>
      <c r="P35" s="169">
        <f>'Premissas Adotadas'!$J$45*'Premissas Adotadas'!$K$45*SUM(P23:P32)</f>
        <v>-225127.22223461649</v>
      </c>
      <c r="Q35" s="169">
        <f>'Premissas Adotadas'!$J$45*'Premissas Adotadas'!$K$45*SUM(Q23:Q32)</f>
        <v>-225124.05603591332</v>
      </c>
      <c r="R35" s="169">
        <f>'Premissas Adotadas'!$J$45*'Premissas Adotadas'!$K$45*SUM(R23:R32)</f>
        <v>-225124.05603591332</v>
      </c>
      <c r="S35" s="169">
        <f>'Premissas Adotadas'!$J$45*'Premissas Adotadas'!$K$45*SUM(S23:S32)</f>
        <v>-225124.05603591332</v>
      </c>
      <c r="T35" s="169">
        <f>'Premissas Adotadas'!$J$45*'Premissas Adotadas'!$K$45*SUM(T23:T32)</f>
        <v>-225124.05603591332</v>
      </c>
      <c r="U35" s="169">
        <f>'Premissas Adotadas'!$J$45*'Premissas Adotadas'!$K$45*SUM(U23:U32)</f>
        <v>-225124.05603591332</v>
      </c>
      <c r="V35" s="169">
        <f>'Premissas Adotadas'!$J$45*'Premissas Adotadas'!$K$45*SUM(V23:V32)</f>
        <v>-228020.8119718922</v>
      </c>
      <c r="W35" s="169">
        <f>'Premissas Adotadas'!$J$45*'Premissas Adotadas'!$K$45*SUM(W23:W32)</f>
        <v>-226955.18473578835</v>
      </c>
      <c r="X35" s="169">
        <f>'Premissas Adotadas'!$J$45*'Premissas Adotadas'!$K$45*SUM(X23:X32)</f>
        <v>-228017.64577318903</v>
      </c>
      <c r="Y35" s="169">
        <f>'Premissas Adotadas'!$J$45*'Premissas Adotadas'!$K$45*SUM(Y23:Y32)</f>
        <v>-225124.05603591332</v>
      </c>
      <c r="Z35" s="169">
        <f>'Premissas Adotadas'!$J$45*'Premissas Adotadas'!$K$45*SUM(Z23:Z32)</f>
        <v>-226687.16051651153</v>
      </c>
      <c r="AA35" s="169">
        <f>'Premissas Adotadas'!$J$45*'Premissas Adotadas'!$K$45*SUM(AA23:AA32)</f>
        <v>-225624.69947911086</v>
      </c>
      <c r="AB35" s="169">
        <f>'Premissas Adotadas'!$J$45*'Premissas Adotadas'!$K$45*SUM(AB23:AB32)</f>
        <v>-225127.22223461649</v>
      </c>
      <c r="AC35" s="169">
        <f>'Premissas Adotadas'!$J$45*'Premissas Adotadas'!$K$45*SUM(AC23:AC32)</f>
        <v>-225624.69947911086</v>
      </c>
      <c r="AD35" s="169">
        <f>'Premissas Adotadas'!$J$45*'Premissas Adotadas'!$K$45*SUM(AD23:AD32)</f>
        <v>-225124.05603591332</v>
      </c>
      <c r="AE35" s="169">
        <f>'Premissas Adotadas'!$J$45*'Premissas Adotadas'!$K$45*SUM(AE23:AE32)</f>
        <v>-225124.05603591332</v>
      </c>
      <c r="AF35" s="169">
        <f>'Premissas Adotadas'!$J$45*'Premissas Adotadas'!$K$45*SUM(AF23:AF32)</f>
        <v>-226454.54129259079</v>
      </c>
      <c r="AG35" s="169">
        <f>'Premissas Adotadas'!$J$45*'Premissas Adotadas'!$K$45*SUM(AG23:AG32)</f>
        <v>-226454.54129259079</v>
      </c>
      <c r="AH35" s="169">
        <f>'Premissas Adotadas'!$J$45*'Premissas Adotadas'!$K$45*SUM(AH23:AH32)</f>
        <v>-226457.70749129396</v>
      </c>
      <c r="AI35" s="169">
        <f>'Premissas Adotadas'!$J$45*'Premissas Adotadas'!$K$45*SUM(AI23:AI32)</f>
        <v>-225124.05603591332</v>
      </c>
      <c r="AJ35" s="169">
        <f>'Premissas Adotadas'!$J$45*'Premissas Adotadas'!$K$45*SUM(AJ23:AJ32)</f>
        <v>-225124.05603591332</v>
      </c>
      <c r="AK35" s="169">
        <f>'Premissas Adotadas'!$J$45*'Premissas Adotadas'!$K$45*SUM(AK23:AK32)</f>
        <v>-225124.05603591332</v>
      </c>
      <c r="AL35" s="169">
        <f>'Premissas Adotadas'!$J$45*'Premissas Adotadas'!$K$45*SUM(AL23:AL32)</f>
        <v>-225124.05603591332</v>
      </c>
      <c r="AM35" s="169">
        <f>'Premissas Adotadas'!$J$45*'Premissas Adotadas'!$K$45*SUM(AM23:AM32)</f>
        <v>-225124.05603591332</v>
      </c>
    </row>
    <row r="36" spans="2:39" x14ac:dyDescent="0.2">
      <c r="C36" s="147"/>
      <c r="D36" s="479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248"/>
    </row>
    <row r="37" spans="2:39" x14ac:dyDescent="0.2">
      <c r="B37" s="224" t="s">
        <v>141</v>
      </c>
      <c r="C37" s="225">
        <f>SUM(E37:AM37)</f>
        <v>3322212363.2009015</v>
      </c>
      <c r="D37" s="478"/>
      <c r="E37" s="226">
        <f>E20+E22</f>
        <v>-16321679.540972497</v>
      </c>
      <c r="F37" s="226">
        <f t="shared" ref="F37:AM37" si="12">F20+F22</f>
        <v>-2802659.322336209</v>
      </c>
      <c r="G37" s="226">
        <f t="shared" si="12"/>
        <v>-10331336.364815025</v>
      </c>
      <c r="H37" s="226">
        <f t="shared" si="12"/>
        <v>-36086702.805498563</v>
      </c>
      <c r="I37" s="226">
        <f t="shared" si="12"/>
        <v>-33770736.725007161</v>
      </c>
      <c r="J37" s="226">
        <f t="shared" si="12"/>
        <v>4792430.3863357604</v>
      </c>
      <c r="K37" s="226">
        <f t="shared" si="12"/>
        <v>45261501.825025976</v>
      </c>
      <c r="L37" s="226">
        <f t="shared" si="12"/>
        <v>93474662.542771846</v>
      </c>
      <c r="M37" s="226">
        <f t="shared" si="12"/>
        <v>113056843.87399128</v>
      </c>
      <c r="N37" s="226">
        <f t="shared" si="12"/>
        <v>113056843.87399128</v>
      </c>
      <c r="O37" s="226">
        <f t="shared" si="12"/>
        <v>134863056.37994844</v>
      </c>
      <c r="P37" s="226">
        <f t="shared" si="12"/>
        <v>134859887.01504657</v>
      </c>
      <c r="Q37" s="226">
        <f t="shared" si="12"/>
        <v>134863056.37994844</v>
      </c>
      <c r="R37" s="226">
        <f t="shared" si="12"/>
        <v>134863056.37994844</v>
      </c>
      <c r="S37" s="226">
        <f t="shared" si="12"/>
        <v>134863056.37994844</v>
      </c>
      <c r="T37" s="226">
        <f t="shared" si="12"/>
        <v>134863056.37994844</v>
      </c>
      <c r="U37" s="226">
        <f t="shared" si="12"/>
        <v>134863056.37994844</v>
      </c>
      <c r="V37" s="226">
        <f t="shared" si="12"/>
        <v>52848040.813607574</v>
      </c>
      <c r="W37" s="226">
        <f t="shared" si="12"/>
        <v>110314723.72082424</v>
      </c>
      <c r="X37" s="226">
        <f t="shared" si="12"/>
        <v>52851210.178509444</v>
      </c>
      <c r="Y37" s="226">
        <f t="shared" si="12"/>
        <v>134863056.37994844</v>
      </c>
      <c r="Z37" s="226">
        <f t="shared" si="12"/>
        <v>70505775.18446663</v>
      </c>
      <c r="AA37" s="226">
        <f t="shared" si="12"/>
        <v>127969288.7267814</v>
      </c>
      <c r="AB37" s="226">
        <f t="shared" si="12"/>
        <v>134859887.01504657</v>
      </c>
      <c r="AC37" s="226">
        <f t="shared" si="12"/>
        <v>127969288.7267814</v>
      </c>
      <c r="AD37" s="226">
        <f t="shared" si="12"/>
        <v>134863056.37994844</v>
      </c>
      <c r="AE37" s="226">
        <f t="shared" si="12"/>
        <v>134863056.37994844</v>
      </c>
      <c r="AF37" s="226">
        <f t="shared" si="12"/>
        <v>117208491.37399128</v>
      </c>
      <c r="AG37" s="226">
        <f t="shared" si="12"/>
        <v>117208491.37399128</v>
      </c>
      <c r="AH37" s="226">
        <f t="shared" si="12"/>
        <v>117205322.00908938</v>
      </c>
      <c r="AI37" s="226">
        <f t="shared" si="12"/>
        <v>134863056.37994844</v>
      </c>
      <c r="AJ37" s="226">
        <f t="shared" si="12"/>
        <v>134863056.37994844</v>
      </c>
      <c r="AK37" s="226">
        <f t="shared" si="12"/>
        <v>134863056.37994844</v>
      </c>
      <c r="AL37" s="226">
        <f t="shared" si="12"/>
        <v>134863056.37994844</v>
      </c>
      <c r="AM37" s="226">
        <f t="shared" si="12"/>
        <v>134863056.37994844</v>
      </c>
    </row>
    <row r="38" spans="2:39" x14ac:dyDescent="0.2">
      <c r="B38" s="148" t="s">
        <v>117</v>
      </c>
      <c r="C38" s="148"/>
      <c r="D38" s="480"/>
      <c r="E38" s="149" t="str">
        <f t="shared" ref="E38:F38" si="13">IF(E20=0,"",E37/E20)</f>
        <v/>
      </c>
      <c r="F38" s="149" t="str">
        <f t="shared" si="13"/>
        <v/>
      </c>
      <c r="G38" s="149">
        <f>IF(G20=0,"",G37/G20)</f>
        <v>-0.90269878020752459</v>
      </c>
      <c r="H38" s="149">
        <f t="shared" ref="H38:AM38" si="14">IF(H20=0,"",H37/H20)</f>
        <v>-0.67077073144302102</v>
      </c>
      <c r="I38" s="149">
        <f t="shared" si="14"/>
        <v>-0.31862409161215693</v>
      </c>
      <c r="J38" s="149">
        <f t="shared" si="14"/>
        <v>2.2519632123722086E-2</v>
      </c>
      <c r="K38" s="149">
        <f t="shared" si="14"/>
        <v>0.16371283187473409</v>
      </c>
      <c r="L38" s="149">
        <f t="shared" si="14"/>
        <v>0.28822866722072349</v>
      </c>
      <c r="M38" s="149">
        <f t="shared" si="14"/>
        <v>0.32875923248462252</v>
      </c>
      <c r="N38" s="149">
        <f t="shared" si="14"/>
        <v>0.32875923248462252</v>
      </c>
      <c r="O38" s="149">
        <f t="shared" si="14"/>
        <v>0.37439887578741354</v>
      </c>
      <c r="P38" s="149">
        <f t="shared" si="14"/>
        <v>0.37439007718319922</v>
      </c>
      <c r="Q38" s="149">
        <f t="shared" si="14"/>
        <v>0.37439887578741354</v>
      </c>
      <c r="R38" s="149">
        <f t="shared" si="14"/>
        <v>0.37439887578741354</v>
      </c>
      <c r="S38" s="149">
        <f t="shared" si="14"/>
        <v>0.37439887578741354</v>
      </c>
      <c r="T38" s="149">
        <f t="shared" si="14"/>
        <v>0.37439887578741354</v>
      </c>
      <c r="U38" s="149">
        <f t="shared" si="14"/>
        <v>0.37439887578741354</v>
      </c>
      <c r="V38" s="149">
        <f t="shared" si="14"/>
        <v>0.18800650514984213</v>
      </c>
      <c r="W38" s="149">
        <f t="shared" si="14"/>
        <v>0.32686147815007149</v>
      </c>
      <c r="X38" s="149">
        <f t="shared" si="14"/>
        <v>0.18801778014148934</v>
      </c>
      <c r="Y38" s="149">
        <f t="shared" si="14"/>
        <v>0.37439887578741354</v>
      </c>
      <c r="Z38" s="149">
        <f t="shared" si="14"/>
        <v>0.23705824957387045</v>
      </c>
      <c r="AA38" s="149">
        <f t="shared" si="14"/>
        <v>0.36167946620021496</v>
      </c>
      <c r="AB38" s="149">
        <f t="shared" si="14"/>
        <v>0.37439007718319922</v>
      </c>
      <c r="AC38" s="149">
        <f t="shared" si="14"/>
        <v>0.36167946620021496</v>
      </c>
      <c r="AD38" s="149">
        <f t="shared" si="14"/>
        <v>0.37439887578741354</v>
      </c>
      <c r="AE38" s="149">
        <f t="shared" si="14"/>
        <v>0.37439887578741354</v>
      </c>
      <c r="AF38" s="149">
        <f t="shared" si="14"/>
        <v>0.34083185364471746</v>
      </c>
      <c r="AG38" s="149">
        <f t="shared" si="14"/>
        <v>0.34083185364471746</v>
      </c>
      <c r="AH38" s="149">
        <f t="shared" si="14"/>
        <v>0.34082263741386487</v>
      </c>
      <c r="AI38" s="149">
        <f t="shared" si="14"/>
        <v>0.37439887578741354</v>
      </c>
      <c r="AJ38" s="149">
        <f t="shared" si="14"/>
        <v>0.37439887578741354</v>
      </c>
      <c r="AK38" s="149">
        <f t="shared" si="14"/>
        <v>0.37439887578741354</v>
      </c>
      <c r="AL38" s="149">
        <f t="shared" si="14"/>
        <v>0.37439887578741354</v>
      </c>
      <c r="AM38" s="149">
        <f t="shared" si="14"/>
        <v>0.37439887578741354</v>
      </c>
    </row>
    <row r="39" spans="2:39" x14ac:dyDescent="0.2">
      <c r="D39" s="479"/>
    </row>
    <row r="40" spans="2:39" x14ac:dyDescent="0.2">
      <c r="B40" s="143" t="s">
        <v>14</v>
      </c>
      <c r="C40" s="190">
        <f t="shared" ref="C40:C49" si="15">SUM(E40:AM40)</f>
        <v>-696373171.79760146</v>
      </c>
      <c r="D40" s="479"/>
      <c r="E40" s="145">
        <f>-Depreciação!D92</f>
        <v>0</v>
      </c>
      <c r="F40" s="145">
        <f>-Depreciação!E92</f>
        <v>-2742354.9741721833</v>
      </c>
      <c r="G40" s="145">
        <f>-Depreciação!F92</f>
        <v>-6011573.3844963592</v>
      </c>
      <c r="H40" s="145">
        <f>-Depreciação!G92</f>
        <v>-10180292.830182763</v>
      </c>
      <c r="I40" s="145">
        <f>-Depreciação!H92</f>
        <v>-19717805.268830799</v>
      </c>
      <c r="J40" s="145">
        <f>-Depreciação!I92</f>
        <v>-27642978.123889979</v>
      </c>
      <c r="K40" s="145">
        <f>-Depreciação!J92</f>
        <v>-35290827.450949833</v>
      </c>
      <c r="L40" s="145">
        <f>-Depreciação!K92</f>
        <v>-37577823.3742401</v>
      </c>
      <c r="M40" s="145">
        <f>-Depreciação!L92</f>
        <v>-37577823.3742401</v>
      </c>
      <c r="N40" s="145">
        <f>-Depreciação!M92</f>
        <v>-37577823.3742401</v>
      </c>
      <c r="O40" s="145">
        <f>-Depreciação!N92</f>
        <v>-37577823.3742401</v>
      </c>
      <c r="P40" s="145">
        <f>-Depreciação!O92</f>
        <v>-37577823.3742401</v>
      </c>
      <c r="Q40" s="145">
        <f>-Depreciação!P92</f>
        <v>-37577823.3742401</v>
      </c>
      <c r="R40" s="145">
        <f>-Depreciação!Q92</f>
        <v>-37577823.3742401</v>
      </c>
      <c r="S40" s="145">
        <f>-Depreciação!R92</f>
        <v>-37577823.3742401</v>
      </c>
      <c r="T40" s="145">
        <f>-Depreciação!S92</f>
        <v>-37577823.3742401</v>
      </c>
      <c r="U40" s="145">
        <f>-Depreciação!T92</f>
        <v>-37577823.3742401</v>
      </c>
      <c r="V40" s="145">
        <f>-Depreciação!U92</f>
        <v>-37577823.3742401</v>
      </c>
      <c r="W40" s="145">
        <f>-Depreciação!V92</f>
        <v>-35571052.247874729</v>
      </c>
      <c r="X40" s="145">
        <f>-Depreciação!W92</f>
        <v>-28339444.585296787</v>
      </c>
      <c r="Y40" s="145">
        <f>-Depreciação!X92</f>
        <v>-22903083.524953827</v>
      </c>
      <c r="Z40" s="145">
        <f>-Depreciação!Y92</f>
        <v>-15557578.041690288</v>
      </c>
      <c r="AA40" s="145">
        <f>-Depreciação!Z92</f>
        <v>-13270582.118400017</v>
      </c>
      <c r="AB40" s="145">
        <f>-Depreciação!AA92</f>
        <v>-13270582.118400017</v>
      </c>
      <c r="AC40" s="145">
        <f>-Depreciação!AB92</f>
        <v>-13270582.118400017</v>
      </c>
      <c r="AD40" s="145">
        <f>-Depreciação!AC92</f>
        <v>-13270582.118400017</v>
      </c>
      <c r="AE40" s="145">
        <f>-Depreciação!AD92</f>
        <v>-10528227.144227831</v>
      </c>
      <c r="AF40" s="145">
        <f>-Depreciação!AE92</f>
        <v>-7259008.7339036567</v>
      </c>
      <c r="AG40" s="145">
        <f>-Depreciação!AF92</f>
        <v>-5097060.4145826306</v>
      </c>
      <c r="AH40" s="145">
        <f>-Depreciação!AG92</f>
        <v>-2791155.6385125322</v>
      </c>
      <c r="AI40" s="145">
        <f>-Depreciação!AH92</f>
        <v>-302343.84379631461</v>
      </c>
      <c r="AJ40" s="145">
        <f>-Depreciação!AI92</f>
        <v>0</v>
      </c>
      <c r="AK40" s="145">
        <f>-Depreciação!AJ92</f>
        <v>0</v>
      </c>
      <c r="AL40" s="145">
        <f>-Depreciação!AK92</f>
        <v>0</v>
      </c>
      <c r="AM40" s="145">
        <f>-Depreciação!AL92</f>
        <v>0</v>
      </c>
    </row>
    <row r="41" spans="2:39" x14ac:dyDescent="0.2">
      <c r="D41" s="479"/>
    </row>
    <row r="42" spans="2:39" x14ac:dyDescent="0.2">
      <c r="B42" s="224" t="s">
        <v>118</v>
      </c>
      <c r="C42" s="225">
        <f t="shared" si="15"/>
        <v>2625839191.4032993</v>
      </c>
      <c r="D42" s="478"/>
      <c r="E42" s="226">
        <f>E37+E40</f>
        <v>-16321679.540972497</v>
      </c>
      <c r="F42" s="226">
        <f>F37+F40</f>
        <v>-5545014.2965083923</v>
      </c>
      <c r="G42" s="226">
        <f t="shared" ref="G42:AM42" si="16">G37+G40</f>
        <v>-16342909.749311384</v>
      </c>
      <c r="H42" s="226">
        <f t="shared" si="16"/>
        <v>-46266995.635681324</v>
      </c>
      <c r="I42" s="226">
        <f t="shared" si="16"/>
        <v>-53488541.99383796</v>
      </c>
      <c r="J42" s="226">
        <f t="shared" si="16"/>
        <v>-22850547.737554219</v>
      </c>
      <c r="K42" s="226">
        <f t="shared" si="16"/>
        <v>9970674.3740761429</v>
      </c>
      <c r="L42" s="226">
        <f t="shared" si="16"/>
        <v>55896839.168531746</v>
      </c>
      <c r="M42" s="226">
        <f t="shared" si="16"/>
        <v>75479020.49975118</v>
      </c>
      <c r="N42" s="226">
        <f t="shared" si="16"/>
        <v>75479020.49975118</v>
      </c>
      <c r="O42" s="226">
        <f t="shared" si="16"/>
        <v>97285233.005708337</v>
      </c>
      <c r="P42" s="226">
        <f t="shared" si="16"/>
        <v>97282063.640806466</v>
      </c>
      <c r="Q42" s="226">
        <f t="shared" si="16"/>
        <v>97285233.005708337</v>
      </c>
      <c r="R42" s="226">
        <f t="shared" si="16"/>
        <v>97285233.005708337</v>
      </c>
      <c r="S42" s="226">
        <f t="shared" si="16"/>
        <v>97285233.005708337</v>
      </c>
      <c r="T42" s="226">
        <f t="shared" si="16"/>
        <v>97285233.005708337</v>
      </c>
      <c r="U42" s="226">
        <f t="shared" si="16"/>
        <v>97285233.005708337</v>
      </c>
      <c r="V42" s="226">
        <f t="shared" si="16"/>
        <v>15270217.439367473</v>
      </c>
      <c r="W42" s="226">
        <f t="shared" si="16"/>
        <v>74743671.472949505</v>
      </c>
      <c r="X42" s="226">
        <f t="shared" si="16"/>
        <v>24511765.593212657</v>
      </c>
      <c r="Y42" s="226">
        <f t="shared" si="16"/>
        <v>111959972.85499461</v>
      </c>
      <c r="Z42" s="226">
        <f t="shared" si="16"/>
        <v>54948197.14277634</v>
      </c>
      <c r="AA42" s="226">
        <f t="shared" si="16"/>
        <v>114698706.60838138</v>
      </c>
      <c r="AB42" s="226">
        <f t="shared" si="16"/>
        <v>121589304.89664654</v>
      </c>
      <c r="AC42" s="226">
        <f t="shared" si="16"/>
        <v>114698706.60838138</v>
      </c>
      <c r="AD42" s="226">
        <f t="shared" si="16"/>
        <v>121592474.26154841</v>
      </c>
      <c r="AE42" s="226">
        <f t="shared" si="16"/>
        <v>124334829.2357206</v>
      </c>
      <c r="AF42" s="226">
        <f t="shared" si="16"/>
        <v>109949482.64008762</v>
      </c>
      <c r="AG42" s="226">
        <f t="shared" si="16"/>
        <v>112111430.95940866</v>
      </c>
      <c r="AH42" s="226">
        <f t="shared" si="16"/>
        <v>114414166.37057684</v>
      </c>
      <c r="AI42" s="226">
        <f t="shared" si="16"/>
        <v>134560712.53615212</v>
      </c>
      <c r="AJ42" s="226">
        <f t="shared" si="16"/>
        <v>134863056.37994844</v>
      </c>
      <c r="AK42" s="226">
        <f t="shared" si="16"/>
        <v>134863056.37994844</v>
      </c>
      <c r="AL42" s="226">
        <f t="shared" si="16"/>
        <v>134863056.37994844</v>
      </c>
      <c r="AM42" s="226">
        <f t="shared" si="16"/>
        <v>134863056.37994844</v>
      </c>
    </row>
    <row r="43" spans="2:39" x14ac:dyDescent="0.2">
      <c r="B43" s="148" t="s">
        <v>828</v>
      </c>
      <c r="C43" s="148"/>
      <c r="D43" s="480"/>
      <c r="E43" s="149" t="str">
        <f t="shared" ref="E43:F43" si="17">IF(E20=0,"",E42/E20)</f>
        <v/>
      </c>
      <c r="F43" s="149" t="str">
        <f t="shared" si="17"/>
        <v/>
      </c>
      <c r="G43" s="149">
        <f>IF(G20=0,"",G42/G20)</f>
        <v>-1.4279589953133023</v>
      </c>
      <c r="H43" s="149">
        <f t="shared" ref="H43:AM43" si="18">IF(H20=0,"",H42/H20)</f>
        <v>-0.85999950373654699</v>
      </c>
      <c r="I43" s="149">
        <f t="shared" si="18"/>
        <v>-0.50465994399894798</v>
      </c>
      <c r="J43" s="149">
        <f t="shared" si="18"/>
        <v>-0.10737473210721329</v>
      </c>
      <c r="K43" s="149">
        <f t="shared" si="18"/>
        <v>3.6064365336156416E-2</v>
      </c>
      <c r="L43" s="149">
        <f t="shared" si="18"/>
        <v>0.17235763165258805</v>
      </c>
      <c r="M43" s="149">
        <f t="shared" si="18"/>
        <v>0.21948626901213047</v>
      </c>
      <c r="N43" s="149">
        <f t="shared" si="18"/>
        <v>0.21948626901213047</v>
      </c>
      <c r="O43" s="149">
        <f t="shared" si="18"/>
        <v>0.2700775352846686</v>
      </c>
      <c r="P43" s="149">
        <f t="shared" si="18"/>
        <v>0.27006873668045428</v>
      </c>
      <c r="Q43" s="149">
        <f t="shared" si="18"/>
        <v>0.2700775352846686</v>
      </c>
      <c r="R43" s="149">
        <f t="shared" si="18"/>
        <v>0.2700775352846686</v>
      </c>
      <c r="S43" s="149">
        <f t="shared" si="18"/>
        <v>0.2700775352846686</v>
      </c>
      <c r="T43" s="149">
        <f t="shared" si="18"/>
        <v>0.2700775352846686</v>
      </c>
      <c r="U43" s="149">
        <f t="shared" si="18"/>
        <v>0.2700775352846686</v>
      </c>
      <c r="V43" s="149">
        <f t="shared" si="18"/>
        <v>5.4323682949367465E-2</v>
      </c>
      <c r="W43" s="149">
        <f t="shared" si="18"/>
        <v>0.22146478834356878</v>
      </c>
      <c r="X43" s="149">
        <f t="shared" si="18"/>
        <v>8.7200420550793092E-2</v>
      </c>
      <c r="Y43" s="149">
        <f t="shared" si="18"/>
        <v>0.31081668394052264</v>
      </c>
      <c r="Z43" s="149">
        <f t="shared" si="18"/>
        <v>0.18474973713609061</v>
      </c>
      <c r="AA43" s="149">
        <f t="shared" si="18"/>
        <v>0.32417283390973978</v>
      </c>
      <c r="AB43" s="149">
        <f t="shared" si="18"/>
        <v>0.33754906853679989</v>
      </c>
      <c r="AC43" s="149">
        <f t="shared" si="18"/>
        <v>0.32417283390973978</v>
      </c>
      <c r="AD43" s="149">
        <f t="shared" si="18"/>
        <v>0.33755786714101421</v>
      </c>
      <c r="AE43" s="149">
        <f t="shared" si="18"/>
        <v>0.34517103153829343</v>
      </c>
      <c r="AF43" s="149">
        <f t="shared" si="18"/>
        <v>0.31972330277611904</v>
      </c>
      <c r="AG43" s="149">
        <f t="shared" si="18"/>
        <v>0.32601005593299637</v>
      </c>
      <c r="AH43" s="149">
        <f t="shared" si="18"/>
        <v>0.33270620541364693</v>
      </c>
      <c r="AI43" s="149">
        <f t="shared" si="18"/>
        <v>0.37355952661161201</v>
      </c>
      <c r="AJ43" s="149">
        <f t="shared" si="18"/>
        <v>0.37439887578741354</v>
      </c>
      <c r="AK43" s="149">
        <f t="shared" si="18"/>
        <v>0.37439887578741354</v>
      </c>
      <c r="AL43" s="149">
        <f t="shared" si="18"/>
        <v>0.37439887578741354</v>
      </c>
      <c r="AM43" s="149">
        <f t="shared" si="18"/>
        <v>0.37439887578741354</v>
      </c>
    </row>
    <row r="44" spans="2:39" x14ac:dyDescent="0.2">
      <c r="D44" s="479"/>
    </row>
    <row r="45" spans="2:39" x14ac:dyDescent="0.2">
      <c r="B45" s="224" t="s">
        <v>124</v>
      </c>
      <c r="C45" s="225">
        <f t="shared" si="15"/>
        <v>-892089325.0771215</v>
      </c>
      <c r="D45" s="478"/>
      <c r="E45" s="226">
        <f>E46+E47</f>
        <v>0</v>
      </c>
      <c r="F45" s="226">
        <f t="shared" ref="F45:AM45" si="19">F46+F47</f>
        <v>0</v>
      </c>
      <c r="G45" s="226">
        <f t="shared" si="19"/>
        <v>0</v>
      </c>
      <c r="H45" s="226">
        <f t="shared" si="19"/>
        <v>0</v>
      </c>
      <c r="I45" s="226">
        <f t="shared" si="19"/>
        <v>0</v>
      </c>
      <c r="J45" s="226">
        <f t="shared" si="19"/>
        <v>0</v>
      </c>
      <c r="K45" s="226">
        <f t="shared" si="19"/>
        <v>-2349020.5010301224</v>
      </c>
      <c r="L45" s="226">
        <f t="shared" si="19"/>
        <v>-13279447.722110555</v>
      </c>
      <c r="M45" s="226">
        <f t="shared" si="19"/>
        <v>-17940006.878940783</v>
      </c>
      <c r="N45" s="226">
        <f t="shared" si="19"/>
        <v>-17940006.878940783</v>
      </c>
      <c r="O45" s="226">
        <f t="shared" si="19"/>
        <v>-23129885.45535858</v>
      </c>
      <c r="P45" s="226">
        <f t="shared" si="19"/>
        <v>-23129131.146511938</v>
      </c>
      <c r="Q45" s="226">
        <f t="shared" si="19"/>
        <v>-23129885.45535858</v>
      </c>
      <c r="R45" s="226">
        <f t="shared" si="19"/>
        <v>-30260809.565448467</v>
      </c>
      <c r="S45" s="226">
        <f t="shared" si="19"/>
        <v>-33052979.221940834</v>
      </c>
      <c r="T45" s="226">
        <f t="shared" si="19"/>
        <v>-33052979.221940834</v>
      </c>
      <c r="U45" s="226">
        <f t="shared" si="19"/>
        <v>-33052979.221940834</v>
      </c>
      <c r="V45" s="226">
        <f t="shared" si="19"/>
        <v>-5167873.9293849412</v>
      </c>
      <c r="W45" s="226">
        <f t="shared" si="19"/>
        <v>-25388848.300802831</v>
      </c>
      <c r="X45" s="226">
        <f t="shared" si="19"/>
        <v>-8310000.3016923033</v>
      </c>
      <c r="Y45" s="226">
        <f t="shared" si="19"/>
        <v>-38042390.770698167</v>
      </c>
      <c r="Z45" s="226">
        <f t="shared" si="19"/>
        <v>-18658387.028543957</v>
      </c>
      <c r="AA45" s="226">
        <f t="shared" si="19"/>
        <v>-38973560.246849671</v>
      </c>
      <c r="AB45" s="226">
        <f t="shared" si="19"/>
        <v>-41316363.664859824</v>
      </c>
      <c r="AC45" s="226">
        <f t="shared" si="19"/>
        <v>-38973560.246849671</v>
      </c>
      <c r="AD45" s="226">
        <f t="shared" si="19"/>
        <v>-41317441.248926461</v>
      </c>
      <c r="AE45" s="226">
        <f t="shared" si="19"/>
        <v>-42249841.940145001</v>
      </c>
      <c r="AF45" s="226">
        <f t="shared" si="19"/>
        <v>-37358824.097629793</v>
      </c>
      <c r="AG45" s="226">
        <f t="shared" si="19"/>
        <v>-38093886.526198938</v>
      </c>
      <c r="AH45" s="226">
        <f t="shared" si="19"/>
        <v>-38876816.565996125</v>
      </c>
      <c r="AI45" s="226">
        <f t="shared" si="19"/>
        <v>-45726642.262291722</v>
      </c>
      <c r="AJ45" s="226">
        <f t="shared" si="19"/>
        <v>-45829439.169182464</v>
      </c>
      <c r="AK45" s="226">
        <f t="shared" si="19"/>
        <v>-45829439.169182464</v>
      </c>
      <c r="AL45" s="226">
        <f t="shared" si="19"/>
        <v>-45829439.169182464</v>
      </c>
      <c r="AM45" s="226">
        <f t="shared" si="19"/>
        <v>-45829439.169182464</v>
      </c>
    </row>
    <row r="46" spans="2:39" x14ac:dyDescent="0.2">
      <c r="B46" s="144" t="s">
        <v>119</v>
      </c>
      <c r="C46" s="190">
        <f t="shared" si="15"/>
        <v>-655763797.85082483</v>
      </c>
      <c r="D46" s="193"/>
      <c r="E46" s="146">
        <f>-IF(E78=0,0,'Premissas Adotadas'!$K$19*E78+'Premissas Adotadas'!$K$20*(E78-'Premissas Adotadas'!$K$21))</f>
        <v>0</v>
      </c>
      <c r="F46" s="146">
        <f>-IF(F78=0,0,'Premissas Adotadas'!$K$19*F78+'Premissas Adotadas'!$K$20*(F78-'Premissas Adotadas'!$K$21))</f>
        <v>0</v>
      </c>
      <c r="G46" s="146">
        <f>-IF(G78=0,0,'Premissas Adotadas'!$K$19*G78+'Premissas Adotadas'!$K$20*(G78-'Premissas Adotadas'!$K$21))</f>
        <v>0</v>
      </c>
      <c r="H46" s="146">
        <f>-IF(H78=0,0,'Premissas Adotadas'!$K$19*H78+'Premissas Adotadas'!$K$20*(H78-'Premissas Adotadas'!$K$21))</f>
        <v>0</v>
      </c>
      <c r="I46" s="146">
        <f>-IF(I78=0,0,'Premissas Adotadas'!$K$19*I78+'Premissas Adotadas'!$K$20*(I78-'Premissas Adotadas'!$K$21))</f>
        <v>0</v>
      </c>
      <c r="J46" s="146">
        <f>-IF(J78=0,0,'Premissas Adotadas'!$K$19*J78+'Premissas Adotadas'!$K$20*(J78-'Premissas Adotadas'!$K$21))</f>
        <v>0</v>
      </c>
      <c r="K46" s="146">
        <f>-IF(K78=0,0,'Premissas Adotadas'!$K$19*K78+'Premissas Adotadas'!$K$20*(K78-'Premissas Adotadas'!$K$21))</f>
        <v>-1720868.0154633252</v>
      </c>
      <c r="L46" s="146">
        <f>-IF(L78=0,0,'Premissas Adotadas'!$K$19*L78+'Premissas Adotadas'!$K$20*(L78-'Premissas Adotadas'!$K$21))</f>
        <v>-9757946.8544930555</v>
      </c>
      <c r="M46" s="146">
        <f>-IF(M78=0,0,'Premissas Adotadas'!$K$19*M78+'Premissas Adotadas'!$K$20*(M78-'Premissas Adotadas'!$K$21))</f>
        <v>-13184828.587456457</v>
      </c>
      <c r="N46" s="146">
        <f>-IF(N78=0,0,'Premissas Adotadas'!$K$19*N78+'Premissas Adotadas'!$K$20*(N78-'Premissas Adotadas'!$K$21))</f>
        <v>-13184828.587456457</v>
      </c>
      <c r="O46" s="146">
        <f>-IF(O78=0,0,'Premissas Adotadas'!$K$19*O78+'Premissas Adotadas'!$K$20*(O78-'Premissas Adotadas'!$K$21))</f>
        <v>-17000915.775998957</v>
      </c>
      <c r="P46" s="146">
        <f>-IF(P78=0,0,'Premissas Adotadas'!$K$19*P78+'Premissas Adotadas'!$K$20*(P78-'Premissas Adotadas'!$K$21))</f>
        <v>-17000361.137141131</v>
      </c>
      <c r="Q46" s="146">
        <f>-IF(Q78=0,0,'Premissas Adotadas'!$K$19*Q78+'Premissas Adotadas'!$K$20*(Q78-'Premissas Adotadas'!$K$21))</f>
        <v>-17000915.775998957</v>
      </c>
      <c r="R46" s="146">
        <f>-IF(R78=0,0,'Premissas Adotadas'!$K$19*R78+'Premissas Adotadas'!$K$20*(R78-'Premissas Adotadas'!$K$21))</f>
        <v>-22244242.327535637</v>
      </c>
      <c r="S46" s="146">
        <f>-IF(S78=0,0,'Premissas Adotadas'!$K$19*S78+'Premissas Adotadas'!$K$20*(S78-'Premissas Adotadas'!$K$21))</f>
        <v>-24297308.251427084</v>
      </c>
      <c r="T46" s="146">
        <f>-IF(T78=0,0,'Premissas Adotadas'!$K$19*T78+'Premissas Adotadas'!$K$20*(T78-'Premissas Adotadas'!$K$21))</f>
        <v>-24297308.251427084</v>
      </c>
      <c r="U46" s="146">
        <f>-IF(U78=0,0,'Premissas Adotadas'!$K$19*U78+'Premissas Adotadas'!$K$20*(U78-'Premissas Adotadas'!$K$21))</f>
        <v>-24297308.251427084</v>
      </c>
      <c r="V46" s="146">
        <f>-IF(V78=0,0,'Premissas Adotadas'!$K$19*V78+'Premissas Adotadas'!$K$20*(V78-'Premissas Adotadas'!$K$21))</f>
        <v>-3793554.3598418683</v>
      </c>
      <c r="W46" s="146">
        <f>-IF(W78=0,0,'Premissas Adotadas'!$K$19*W78+'Premissas Adotadas'!$K$20*(W78-'Premissas Adotadas'!$K$21))</f>
        <v>-18661917.868237376</v>
      </c>
      <c r="X46" s="146">
        <f>-IF(X78=0,0,'Premissas Adotadas'!$K$19*X78+'Premissas Adotadas'!$K$20*(X78-'Premissas Adotadas'!$K$21))</f>
        <v>-6103941.3983031642</v>
      </c>
      <c r="Y46" s="146">
        <f>-IF(Y78=0,0,'Premissas Adotadas'!$K$19*Y78+'Premissas Adotadas'!$K$20*(Y78-'Premissas Adotadas'!$K$21))</f>
        <v>-27965993.213748652</v>
      </c>
      <c r="Z46" s="146">
        <f>-IF(Z78=0,0,'Premissas Adotadas'!$K$19*Z78+'Premissas Adotadas'!$K$20*(Z78-'Premissas Adotadas'!$K$21))</f>
        <v>-13713049.285694085</v>
      </c>
      <c r="AA46" s="146">
        <f>-IF(AA78=0,0,'Premissas Adotadas'!$K$19*AA78+'Premissas Adotadas'!$K$20*(AA78-'Premissas Adotadas'!$K$21))</f>
        <v>-28650676.652095344</v>
      </c>
      <c r="AB46" s="146">
        <f>-IF(AB78=0,0,'Premissas Adotadas'!$K$19*AB78+'Premissas Adotadas'!$K$20*(AB78-'Premissas Adotadas'!$K$21))</f>
        <v>-30373326.224161636</v>
      </c>
      <c r="AC46" s="146">
        <f>-IF(AC78=0,0,'Premissas Adotadas'!$K$19*AC78+'Premissas Adotadas'!$K$20*(AC78-'Premissas Adotadas'!$K$21))</f>
        <v>-28650676.652095344</v>
      </c>
      <c r="AD46" s="146">
        <f>-IF(AD78=0,0,'Premissas Adotadas'!$K$19*AD78+'Premissas Adotadas'!$K$20*(AD78-'Premissas Adotadas'!$K$21))</f>
        <v>-30374118.565387107</v>
      </c>
      <c r="AE46" s="146">
        <f>-IF(AE78=0,0,'Premissas Adotadas'!$K$19*AE78+'Premissas Adotadas'!$K$20*(AE78-'Premissas Adotadas'!$K$21))</f>
        <v>-31059707.308930151</v>
      </c>
      <c r="AF46" s="146">
        <f>-IF(AF78=0,0,'Premissas Adotadas'!$K$19*AF78+'Premissas Adotadas'!$K$20*(AF78-'Premissas Adotadas'!$K$21))</f>
        <v>-27463370.660021905</v>
      </c>
      <c r="AG46" s="146">
        <f>-IF(AG78=0,0,'Premissas Adotadas'!$K$19*AG78+'Premissas Adotadas'!$K$20*(AG78-'Premissas Adotadas'!$K$21))</f>
        <v>-28003857.739852164</v>
      </c>
      <c r="AH46" s="146">
        <f>-IF(AH78=0,0,'Premissas Adotadas'!$K$19*AH78+'Premissas Adotadas'!$K$20*(AH78-'Premissas Adotadas'!$K$21))</f>
        <v>-28579541.592644211</v>
      </c>
      <c r="AI46" s="146">
        <f>-IF(AI78=0,0,'Premissas Adotadas'!$K$19*AI78+'Premissas Adotadas'!$K$20*(AI78-'Premissas Adotadas'!$K$21))</f>
        <v>-33616178.134038031</v>
      </c>
      <c r="AJ46" s="146">
        <f>-IF(AJ78=0,0,'Premissas Adotadas'!$K$19*AJ78+'Premissas Adotadas'!$K$20*(AJ78-'Premissas Adotadas'!$K$21))</f>
        <v>-33691764.094987109</v>
      </c>
      <c r="AK46" s="146">
        <f>-IF(AK78=0,0,'Premissas Adotadas'!$K$19*AK78+'Premissas Adotadas'!$K$20*(AK78-'Premissas Adotadas'!$K$21))</f>
        <v>-33691764.094987109</v>
      </c>
      <c r="AL46" s="146">
        <f>-IF(AL78=0,0,'Premissas Adotadas'!$K$19*AL78+'Premissas Adotadas'!$K$20*(AL78-'Premissas Adotadas'!$K$21))</f>
        <v>-33691764.094987109</v>
      </c>
      <c r="AM46" s="146">
        <f>-IF(AM78=0,0,'Premissas Adotadas'!$K$19*AM78+'Premissas Adotadas'!$K$20*(AM78-'Premissas Adotadas'!$K$21))</f>
        <v>-33691764.094987109</v>
      </c>
    </row>
    <row r="47" spans="2:39" x14ac:dyDescent="0.2">
      <c r="B47" s="144" t="s">
        <v>120</v>
      </c>
      <c r="C47" s="190">
        <f t="shared" si="15"/>
        <v>-236325527.22629687</v>
      </c>
      <c r="D47" s="193"/>
      <c r="E47" s="146">
        <f>-'Premissas Adotadas'!$K$22*E78</f>
        <v>0</v>
      </c>
      <c r="F47" s="146">
        <f>-'Premissas Adotadas'!$K$22*F78</f>
        <v>0</v>
      </c>
      <c r="G47" s="146">
        <f>-'Premissas Adotadas'!$K$22*G78</f>
        <v>0</v>
      </c>
      <c r="H47" s="146">
        <f>-'Premissas Adotadas'!$K$22*H78</f>
        <v>0</v>
      </c>
      <c r="I47" s="146">
        <f>-'Premissas Adotadas'!$K$22*I78</f>
        <v>0</v>
      </c>
      <c r="J47" s="146">
        <f>-'Premissas Adotadas'!$K$22*J78</f>
        <v>0</v>
      </c>
      <c r="K47" s="146">
        <f>-'Premissas Adotadas'!$K$22*K78</f>
        <v>-628152.48556679708</v>
      </c>
      <c r="L47" s="146">
        <f>-'Premissas Adotadas'!$K$22*L78</f>
        <v>-3521500.8676175</v>
      </c>
      <c r="M47" s="146">
        <f>-'Premissas Adotadas'!$K$22*M78</f>
        <v>-4755178.2914843243</v>
      </c>
      <c r="N47" s="146">
        <f>-'Premissas Adotadas'!$K$22*N78</f>
        <v>-4755178.2914843243</v>
      </c>
      <c r="O47" s="146">
        <f>-'Premissas Adotadas'!$K$22*O78</f>
        <v>-6128969.6793596242</v>
      </c>
      <c r="P47" s="146">
        <f>-'Premissas Adotadas'!$K$22*P78</f>
        <v>-6128770.0093708066</v>
      </c>
      <c r="Q47" s="146">
        <f>-'Premissas Adotadas'!$K$22*Q78</f>
        <v>-6128969.6793596242</v>
      </c>
      <c r="R47" s="146">
        <f>-'Premissas Adotadas'!$K$22*R78</f>
        <v>-8016567.237912829</v>
      </c>
      <c r="S47" s="146">
        <f>-'Premissas Adotadas'!$K$22*S78</f>
        <v>-8755670.9705137499</v>
      </c>
      <c r="T47" s="146">
        <f>-'Premissas Adotadas'!$K$22*T78</f>
        <v>-8755670.9705137499</v>
      </c>
      <c r="U47" s="146">
        <f>-'Premissas Adotadas'!$K$22*U78</f>
        <v>-8755670.9705137499</v>
      </c>
      <c r="V47" s="146">
        <f>-'Premissas Adotadas'!$K$22*V78</f>
        <v>-1374319.5695430725</v>
      </c>
      <c r="W47" s="146">
        <f>-'Premissas Adotadas'!$K$22*W78</f>
        <v>-6726930.4325654553</v>
      </c>
      <c r="X47" s="146">
        <f>-'Premissas Adotadas'!$K$22*X78</f>
        <v>-2206058.9033891391</v>
      </c>
      <c r="Y47" s="146">
        <f>-'Premissas Adotadas'!$K$22*Y78</f>
        <v>-10076397.556949515</v>
      </c>
      <c r="Z47" s="146">
        <f>-'Premissas Adotadas'!$K$22*Z78</f>
        <v>-4945337.7428498706</v>
      </c>
      <c r="AA47" s="146">
        <f>-'Premissas Adotadas'!$K$22*AA78</f>
        <v>-10322883.594754323</v>
      </c>
      <c r="AB47" s="146">
        <f>-'Premissas Adotadas'!$K$22*AB78</f>
        <v>-10943037.440698188</v>
      </c>
      <c r="AC47" s="146">
        <f>-'Premissas Adotadas'!$K$22*AC78</f>
        <v>-10322883.594754323</v>
      </c>
      <c r="AD47" s="146">
        <f>-'Premissas Adotadas'!$K$22*AD78</f>
        <v>-10943322.683539357</v>
      </c>
      <c r="AE47" s="146">
        <f>-'Premissas Adotadas'!$K$22*AE78</f>
        <v>-11190134.631214853</v>
      </c>
      <c r="AF47" s="146">
        <f>-'Premissas Adotadas'!$K$22*AF78</f>
        <v>-9895453.4376078863</v>
      </c>
      <c r="AG47" s="146">
        <f>-'Premissas Adotadas'!$K$22*AG78</f>
        <v>-10090028.786346778</v>
      </c>
      <c r="AH47" s="146">
        <f>-'Premissas Adotadas'!$K$22*AH78</f>
        <v>-10297274.973351916</v>
      </c>
      <c r="AI47" s="146">
        <f>-'Premissas Adotadas'!$K$22*AI78</f>
        <v>-12110464.128253691</v>
      </c>
      <c r="AJ47" s="146">
        <f>-'Premissas Adotadas'!$K$22*AJ78</f>
        <v>-12137675.074195359</v>
      </c>
      <c r="AK47" s="146">
        <f>-'Premissas Adotadas'!$K$22*AK78</f>
        <v>-12137675.074195359</v>
      </c>
      <c r="AL47" s="146">
        <f>-'Premissas Adotadas'!$K$22*AL78</f>
        <v>-12137675.074195359</v>
      </c>
      <c r="AM47" s="146">
        <f>-'Premissas Adotadas'!$K$22*AM78</f>
        <v>-12137675.074195359</v>
      </c>
    </row>
    <row r="48" spans="2:39" x14ac:dyDescent="0.2">
      <c r="D48" s="479"/>
    </row>
    <row r="49" spans="2:40" x14ac:dyDescent="0.2">
      <c r="B49" s="224" t="s">
        <v>125</v>
      </c>
      <c r="C49" s="225">
        <f t="shared" si="15"/>
        <v>1733749866.3261778</v>
      </c>
      <c r="D49" s="478"/>
      <c r="E49" s="226">
        <f>E42+E45</f>
        <v>-16321679.540972497</v>
      </c>
      <c r="F49" s="226">
        <f>F42+F45</f>
        <v>-5545014.2965083923</v>
      </c>
      <c r="G49" s="226">
        <f t="shared" ref="G49:AM49" si="20">G42+G45</f>
        <v>-16342909.749311384</v>
      </c>
      <c r="H49" s="226">
        <f t="shared" si="20"/>
        <v>-46266995.635681324</v>
      </c>
      <c r="I49" s="226">
        <f t="shared" si="20"/>
        <v>-53488541.99383796</v>
      </c>
      <c r="J49" s="226">
        <f t="shared" si="20"/>
        <v>-22850547.737554219</v>
      </c>
      <c r="K49" s="226">
        <f t="shared" si="20"/>
        <v>7621653.87304602</v>
      </c>
      <c r="L49" s="226">
        <f t="shared" si="20"/>
        <v>42617391.446421191</v>
      </c>
      <c r="M49" s="226">
        <f t="shared" si="20"/>
        <v>57539013.620810397</v>
      </c>
      <c r="N49" s="226">
        <f t="shared" si="20"/>
        <v>57539013.620810397</v>
      </c>
      <c r="O49" s="226">
        <f t="shared" si="20"/>
        <v>74155347.550349757</v>
      </c>
      <c r="P49" s="226">
        <f t="shared" si="20"/>
        <v>74152932.494294524</v>
      </c>
      <c r="Q49" s="226">
        <f t="shared" si="20"/>
        <v>74155347.550349757</v>
      </c>
      <c r="R49" s="226">
        <f t="shared" si="20"/>
        <v>67024423.440259874</v>
      </c>
      <c r="S49" s="226">
        <f t="shared" si="20"/>
        <v>64232253.783767506</v>
      </c>
      <c r="T49" s="226">
        <f t="shared" si="20"/>
        <v>64232253.783767506</v>
      </c>
      <c r="U49" s="226">
        <f t="shared" si="20"/>
        <v>64232253.783767506</v>
      </c>
      <c r="V49" s="226">
        <f t="shared" si="20"/>
        <v>10102343.509982532</v>
      </c>
      <c r="W49" s="226">
        <f t="shared" si="20"/>
        <v>49354823.172146678</v>
      </c>
      <c r="X49" s="226">
        <f t="shared" si="20"/>
        <v>16201765.291520353</v>
      </c>
      <c r="Y49" s="226">
        <f t="shared" si="20"/>
        <v>73917582.084296435</v>
      </c>
      <c r="Z49" s="226">
        <f t="shared" si="20"/>
        <v>36289810.114232384</v>
      </c>
      <c r="AA49" s="226">
        <f t="shared" si="20"/>
        <v>75725146.361531705</v>
      </c>
      <c r="AB49" s="226">
        <f t="shared" si="20"/>
        <v>80272941.231786728</v>
      </c>
      <c r="AC49" s="226">
        <f t="shared" si="20"/>
        <v>75725146.361531705</v>
      </c>
      <c r="AD49" s="226">
        <f t="shared" si="20"/>
        <v>80275033.012621954</v>
      </c>
      <c r="AE49" s="226">
        <f t="shared" si="20"/>
        <v>82084987.295575604</v>
      </c>
      <c r="AF49" s="226">
        <f t="shared" si="20"/>
        <v>72590658.542457819</v>
      </c>
      <c r="AG49" s="226">
        <f t="shared" si="20"/>
        <v>74017544.433209717</v>
      </c>
      <c r="AH49" s="226">
        <f t="shared" si="20"/>
        <v>75537349.804580718</v>
      </c>
      <c r="AI49" s="226">
        <f t="shared" si="20"/>
        <v>88834070.273860395</v>
      </c>
      <c r="AJ49" s="226">
        <f t="shared" si="20"/>
        <v>89033617.210765973</v>
      </c>
      <c r="AK49" s="226">
        <f t="shared" si="20"/>
        <v>89033617.210765973</v>
      </c>
      <c r="AL49" s="226">
        <f t="shared" si="20"/>
        <v>89033617.210765973</v>
      </c>
      <c r="AM49" s="226">
        <f t="shared" si="20"/>
        <v>89033617.210765973</v>
      </c>
    </row>
    <row r="50" spans="2:40" x14ac:dyDescent="0.2">
      <c r="D50" s="479"/>
    </row>
    <row r="51" spans="2:40" x14ac:dyDescent="0.2">
      <c r="B51" s="221" t="s">
        <v>126</v>
      </c>
      <c r="C51" s="222"/>
      <c r="D51" s="478"/>
      <c r="E51" s="222">
        <v>1</v>
      </c>
      <c r="F51" s="222">
        <v>2</v>
      </c>
      <c r="G51" s="222">
        <v>3</v>
      </c>
      <c r="H51" s="222">
        <v>4</v>
      </c>
      <c r="I51" s="222">
        <v>5</v>
      </c>
      <c r="J51" s="222">
        <v>6</v>
      </c>
      <c r="K51" s="222">
        <v>7</v>
      </c>
      <c r="L51" s="222">
        <v>8</v>
      </c>
      <c r="M51" s="222">
        <v>9</v>
      </c>
      <c r="N51" s="222">
        <v>10</v>
      </c>
      <c r="O51" s="222">
        <v>11</v>
      </c>
      <c r="P51" s="222">
        <v>12</v>
      </c>
      <c r="Q51" s="222">
        <v>13</v>
      </c>
      <c r="R51" s="222">
        <v>14</v>
      </c>
      <c r="S51" s="222">
        <v>15</v>
      </c>
      <c r="T51" s="222">
        <v>16</v>
      </c>
      <c r="U51" s="222">
        <v>17</v>
      </c>
      <c r="V51" s="222">
        <v>18</v>
      </c>
      <c r="W51" s="222">
        <v>19</v>
      </c>
      <c r="X51" s="222">
        <v>20</v>
      </c>
      <c r="Y51" s="222">
        <v>21</v>
      </c>
      <c r="Z51" s="222">
        <v>22</v>
      </c>
      <c r="AA51" s="222">
        <v>23</v>
      </c>
      <c r="AB51" s="222">
        <v>24</v>
      </c>
      <c r="AC51" s="222">
        <v>25</v>
      </c>
      <c r="AD51" s="222">
        <v>26</v>
      </c>
      <c r="AE51" s="222">
        <v>27</v>
      </c>
      <c r="AF51" s="222">
        <v>28</v>
      </c>
      <c r="AG51" s="222">
        <v>29</v>
      </c>
      <c r="AH51" s="222">
        <v>30</v>
      </c>
      <c r="AI51" s="222">
        <v>31</v>
      </c>
      <c r="AJ51" s="222">
        <v>32</v>
      </c>
      <c r="AK51" s="222">
        <v>33</v>
      </c>
      <c r="AL51" s="222">
        <v>34</v>
      </c>
      <c r="AM51" s="222">
        <v>35</v>
      </c>
    </row>
    <row r="52" spans="2:40" x14ac:dyDescent="0.2">
      <c r="B52" s="224" t="s">
        <v>128</v>
      </c>
      <c r="C52" s="225">
        <f t="shared" ref="C52:C59" si="21">SUM(E52:AM52)</f>
        <v>2322276609.0633392</v>
      </c>
      <c r="D52" s="478"/>
      <c r="E52" s="226">
        <f>SUM(E53:E55)</f>
        <v>-16321679.540972497</v>
      </c>
      <c r="F52" s="226">
        <f t="shared" ref="F52:AM52" si="22">SUM(F53:F55)</f>
        <v>-2802659.322336209</v>
      </c>
      <c r="G52" s="226">
        <f t="shared" si="22"/>
        <v>-13448749.923304349</v>
      </c>
      <c r="H52" s="226">
        <f t="shared" si="22"/>
        <v>-47671993.986367792</v>
      </c>
      <c r="I52" s="226">
        <f t="shared" si="22"/>
        <v>-48916895.911767162</v>
      </c>
      <c r="J52" s="226">
        <f t="shared" si="22"/>
        <v>-27155386.624956407</v>
      </c>
      <c r="K52" s="226">
        <f t="shared" si="22"/>
        <v>23350519.418984503</v>
      </c>
      <c r="L52" s="226">
        <f t="shared" si="22"/>
        <v>65102981.805167757</v>
      </c>
      <c r="M52" s="226">
        <f t="shared" si="22"/>
        <v>88923049.21334824</v>
      </c>
      <c r="N52" s="226">
        <f t="shared" si="22"/>
        <v>95116836.99505049</v>
      </c>
      <c r="O52" s="226">
        <f t="shared" si="22"/>
        <v>106531405.50376801</v>
      </c>
      <c r="P52" s="226">
        <f t="shared" si="22"/>
        <v>111730755.86853462</v>
      </c>
      <c r="Q52" s="226">
        <f t="shared" si="22"/>
        <v>111733170.92458986</v>
      </c>
      <c r="R52" s="226">
        <f t="shared" si="22"/>
        <v>104602246.81449997</v>
      </c>
      <c r="S52" s="226">
        <f t="shared" si="22"/>
        <v>101810077.15800761</v>
      </c>
      <c r="T52" s="226">
        <f t="shared" si="22"/>
        <v>101810077.15800761</v>
      </c>
      <c r="U52" s="226">
        <f t="shared" si="22"/>
        <v>101810077.15800761</v>
      </c>
      <c r="V52" s="226">
        <f t="shared" si="22"/>
        <v>72788788.368744493</v>
      </c>
      <c r="W52" s="226">
        <f t="shared" si="22"/>
        <v>67055635.420417696</v>
      </c>
      <c r="X52" s="226">
        <f t="shared" si="22"/>
        <v>62411449.876420856</v>
      </c>
      <c r="Y52" s="226">
        <f t="shared" si="22"/>
        <v>71712044.124728411</v>
      </c>
      <c r="Z52" s="226">
        <f t="shared" si="22"/>
        <v>71754244.219622687</v>
      </c>
      <c r="AA52" s="226">
        <f t="shared" si="22"/>
        <v>71125488.480328009</v>
      </c>
      <c r="AB52" s="226">
        <f t="shared" si="22"/>
        <v>91506907.286090434</v>
      </c>
      <c r="AC52" s="226">
        <f t="shared" si="22"/>
        <v>91032344.544028029</v>
      </c>
      <c r="AD52" s="226">
        <f t="shared" si="22"/>
        <v>91508999.066925675</v>
      </c>
      <c r="AE52" s="226">
        <f t="shared" si="22"/>
        <v>92613214.439803436</v>
      </c>
      <c r="AF52" s="226">
        <f t="shared" si="22"/>
        <v>85051432.697183341</v>
      </c>
      <c r="AG52" s="226">
        <f t="shared" si="22"/>
        <v>79114604.847792342</v>
      </c>
      <c r="AH52" s="226">
        <f t="shared" si="22"/>
        <v>78328505.443093255</v>
      </c>
      <c r="AI52" s="226">
        <f t="shared" si="22"/>
        <v>83934648.696834862</v>
      </c>
      <c r="AJ52" s="226">
        <f t="shared" si="22"/>
        <v>89033617.210765973</v>
      </c>
      <c r="AK52" s="226">
        <f t="shared" si="22"/>
        <v>89033617.210765973</v>
      </c>
      <c r="AL52" s="226">
        <f t="shared" si="22"/>
        <v>89033617.210765973</v>
      </c>
      <c r="AM52" s="226">
        <f t="shared" si="22"/>
        <v>89033617.210765973</v>
      </c>
    </row>
    <row r="53" spans="2:40" x14ac:dyDescent="0.2">
      <c r="B53" s="144" t="s">
        <v>116</v>
      </c>
      <c r="C53" s="190">
        <f t="shared" si="21"/>
        <v>3322212363.2009015</v>
      </c>
      <c r="D53" s="193"/>
      <c r="E53" s="146">
        <f>E37</f>
        <v>-16321679.540972497</v>
      </c>
      <c r="F53" s="146">
        <f t="shared" ref="F53:AM53" si="23">F37</f>
        <v>-2802659.322336209</v>
      </c>
      <c r="G53" s="146">
        <f t="shared" si="23"/>
        <v>-10331336.364815025</v>
      </c>
      <c r="H53" s="146">
        <f t="shared" si="23"/>
        <v>-36086702.805498563</v>
      </c>
      <c r="I53" s="146">
        <f t="shared" si="23"/>
        <v>-33770736.725007161</v>
      </c>
      <c r="J53" s="146">
        <f t="shared" si="23"/>
        <v>4792430.3863357604</v>
      </c>
      <c r="K53" s="146">
        <f t="shared" si="23"/>
        <v>45261501.825025976</v>
      </c>
      <c r="L53" s="146">
        <f t="shared" si="23"/>
        <v>93474662.542771846</v>
      </c>
      <c r="M53" s="146">
        <f t="shared" si="23"/>
        <v>113056843.87399128</v>
      </c>
      <c r="N53" s="146">
        <f t="shared" si="23"/>
        <v>113056843.87399128</v>
      </c>
      <c r="O53" s="146">
        <f t="shared" si="23"/>
        <v>134863056.37994844</v>
      </c>
      <c r="P53" s="146">
        <f t="shared" si="23"/>
        <v>134859887.01504657</v>
      </c>
      <c r="Q53" s="146">
        <f t="shared" si="23"/>
        <v>134863056.37994844</v>
      </c>
      <c r="R53" s="146">
        <f t="shared" si="23"/>
        <v>134863056.37994844</v>
      </c>
      <c r="S53" s="146">
        <f t="shared" si="23"/>
        <v>134863056.37994844</v>
      </c>
      <c r="T53" s="146">
        <f t="shared" si="23"/>
        <v>134863056.37994844</v>
      </c>
      <c r="U53" s="146">
        <f t="shared" si="23"/>
        <v>134863056.37994844</v>
      </c>
      <c r="V53" s="146">
        <f t="shared" si="23"/>
        <v>52848040.813607574</v>
      </c>
      <c r="W53" s="146">
        <f t="shared" si="23"/>
        <v>110314723.72082424</v>
      </c>
      <c r="X53" s="146">
        <f t="shared" si="23"/>
        <v>52851210.178509444</v>
      </c>
      <c r="Y53" s="146">
        <f t="shared" si="23"/>
        <v>134863056.37994844</v>
      </c>
      <c r="Z53" s="146">
        <f t="shared" si="23"/>
        <v>70505775.18446663</v>
      </c>
      <c r="AA53" s="146">
        <f t="shared" si="23"/>
        <v>127969288.7267814</v>
      </c>
      <c r="AB53" s="146">
        <f t="shared" si="23"/>
        <v>134859887.01504657</v>
      </c>
      <c r="AC53" s="146">
        <f t="shared" si="23"/>
        <v>127969288.7267814</v>
      </c>
      <c r="AD53" s="146">
        <f t="shared" si="23"/>
        <v>134863056.37994844</v>
      </c>
      <c r="AE53" s="146">
        <f t="shared" si="23"/>
        <v>134863056.37994844</v>
      </c>
      <c r="AF53" s="146">
        <f t="shared" si="23"/>
        <v>117208491.37399128</v>
      </c>
      <c r="AG53" s="146">
        <f t="shared" si="23"/>
        <v>117208491.37399128</v>
      </c>
      <c r="AH53" s="146">
        <f t="shared" si="23"/>
        <v>117205322.00908938</v>
      </c>
      <c r="AI53" s="146">
        <f t="shared" si="23"/>
        <v>134863056.37994844</v>
      </c>
      <c r="AJ53" s="146">
        <f t="shared" si="23"/>
        <v>134863056.37994844</v>
      </c>
      <c r="AK53" s="146">
        <f t="shared" si="23"/>
        <v>134863056.37994844</v>
      </c>
      <c r="AL53" s="146">
        <f t="shared" si="23"/>
        <v>134863056.37994844</v>
      </c>
      <c r="AM53" s="146">
        <f t="shared" si="23"/>
        <v>134863056.37994844</v>
      </c>
    </row>
    <row r="54" spans="2:40" x14ac:dyDescent="0.2">
      <c r="B54" s="144" t="s">
        <v>127</v>
      </c>
      <c r="C54" s="190">
        <f t="shared" si="21"/>
        <v>-892089325.0771215</v>
      </c>
      <c r="D54" s="193"/>
      <c r="E54" s="146">
        <f>E45</f>
        <v>0</v>
      </c>
      <c r="F54" s="146">
        <f t="shared" ref="F54:AM54" si="24">F45</f>
        <v>0</v>
      </c>
      <c r="G54" s="146">
        <f t="shared" si="24"/>
        <v>0</v>
      </c>
      <c r="H54" s="146">
        <f t="shared" si="24"/>
        <v>0</v>
      </c>
      <c r="I54" s="146">
        <f t="shared" si="24"/>
        <v>0</v>
      </c>
      <c r="J54" s="146">
        <f t="shared" si="24"/>
        <v>0</v>
      </c>
      <c r="K54" s="146">
        <f t="shared" si="24"/>
        <v>-2349020.5010301224</v>
      </c>
      <c r="L54" s="146">
        <f t="shared" si="24"/>
        <v>-13279447.722110555</v>
      </c>
      <c r="M54" s="146">
        <f t="shared" si="24"/>
        <v>-17940006.878940783</v>
      </c>
      <c r="N54" s="146">
        <f t="shared" si="24"/>
        <v>-17940006.878940783</v>
      </c>
      <c r="O54" s="146">
        <f t="shared" si="24"/>
        <v>-23129885.45535858</v>
      </c>
      <c r="P54" s="146">
        <f t="shared" si="24"/>
        <v>-23129131.146511938</v>
      </c>
      <c r="Q54" s="146">
        <f t="shared" si="24"/>
        <v>-23129885.45535858</v>
      </c>
      <c r="R54" s="146">
        <f t="shared" si="24"/>
        <v>-30260809.565448467</v>
      </c>
      <c r="S54" s="146">
        <f t="shared" si="24"/>
        <v>-33052979.221940834</v>
      </c>
      <c r="T54" s="146">
        <f t="shared" si="24"/>
        <v>-33052979.221940834</v>
      </c>
      <c r="U54" s="146">
        <f t="shared" si="24"/>
        <v>-33052979.221940834</v>
      </c>
      <c r="V54" s="146">
        <f t="shared" si="24"/>
        <v>-5167873.9293849412</v>
      </c>
      <c r="W54" s="146">
        <f t="shared" si="24"/>
        <v>-25388848.300802831</v>
      </c>
      <c r="X54" s="146">
        <f t="shared" si="24"/>
        <v>-8310000.3016923033</v>
      </c>
      <c r="Y54" s="146">
        <f t="shared" si="24"/>
        <v>-38042390.770698167</v>
      </c>
      <c r="Z54" s="146">
        <f t="shared" si="24"/>
        <v>-18658387.028543957</v>
      </c>
      <c r="AA54" s="146">
        <f t="shared" si="24"/>
        <v>-38973560.246849671</v>
      </c>
      <c r="AB54" s="146">
        <f t="shared" si="24"/>
        <v>-41316363.664859824</v>
      </c>
      <c r="AC54" s="146">
        <f t="shared" si="24"/>
        <v>-38973560.246849671</v>
      </c>
      <c r="AD54" s="146">
        <f t="shared" si="24"/>
        <v>-41317441.248926461</v>
      </c>
      <c r="AE54" s="146">
        <f t="shared" si="24"/>
        <v>-42249841.940145001</v>
      </c>
      <c r="AF54" s="146">
        <f t="shared" si="24"/>
        <v>-37358824.097629793</v>
      </c>
      <c r="AG54" s="146">
        <f t="shared" si="24"/>
        <v>-38093886.526198938</v>
      </c>
      <c r="AH54" s="146">
        <f t="shared" si="24"/>
        <v>-38876816.565996125</v>
      </c>
      <c r="AI54" s="146">
        <f t="shared" si="24"/>
        <v>-45726642.262291722</v>
      </c>
      <c r="AJ54" s="146">
        <f t="shared" si="24"/>
        <v>-45829439.169182464</v>
      </c>
      <c r="AK54" s="146">
        <f t="shared" si="24"/>
        <v>-45829439.169182464</v>
      </c>
      <c r="AL54" s="146">
        <f t="shared" si="24"/>
        <v>-45829439.169182464</v>
      </c>
      <c r="AM54" s="146">
        <f t="shared" si="24"/>
        <v>-45829439.169182464</v>
      </c>
    </row>
    <row r="55" spans="2:40" x14ac:dyDescent="0.2">
      <c r="B55" s="144" t="s">
        <v>151</v>
      </c>
      <c r="C55" s="190">
        <f t="shared" si="21"/>
        <v>-107846429.06043969</v>
      </c>
      <c r="D55" s="193"/>
      <c r="E55" s="146">
        <f>-E10*'Premissas Adotadas'!$K$31/360</f>
        <v>0</v>
      </c>
      <c r="F55" s="146">
        <f>-(F10-E10)*'Premissas Adotadas'!$K$31/360</f>
        <v>0</v>
      </c>
      <c r="G55" s="146">
        <f>-(G10-F10)*'Premissas Adotadas'!$K$31/360</f>
        <v>-3117413.5584893245</v>
      </c>
      <c r="H55" s="146">
        <f>-(H10-G10)*'Premissas Adotadas'!$K$31/360</f>
        <v>-11585291.180869225</v>
      </c>
      <c r="I55" s="146">
        <f>-(I10-H10)*'Premissas Adotadas'!$K$31/360</f>
        <v>-15146159.186760001</v>
      </c>
      <c r="J55" s="146">
        <f>-(J10-I10)*'Premissas Adotadas'!$K$31/360</f>
        <v>-31947817.011292167</v>
      </c>
      <c r="K55" s="146">
        <f>-(K10-J10)*'Premissas Adotadas'!$K$31/360</f>
        <v>-19561961.905011348</v>
      </c>
      <c r="L55" s="146">
        <f>-(L10-K10)*'Premissas Adotadas'!$K$31/360</f>
        <v>-15092233.015493533</v>
      </c>
      <c r="M55" s="146">
        <f>-(M10-L10)*'Premissas Adotadas'!$K$31/360</f>
        <v>-6193787.7817022512</v>
      </c>
      <c r="N55" s="146">
        <f>-(N10-M10)*'Premissas Adotadas'!$K$31/360</f>
        <v>0</v>
      </c>
      <c r="O55" s="146">
        <f>-(O10-N10)*'Premissas Adotadas'!$K$31/360</f>
        <v>-5201765.4208218493</v>
      </c>
      <c r="P55" s="146">
        <f>-(P10-O10)*'Premissas Adotadas'!$K$31/360</f>
        <v>0</v>
      </c>
      <c r="Q55" s="146">
        <f>-(Q10-P10)*'Premissas Adotadas'!$K$31/360</f>
        <v>0</v>
      </c>
      <c r="R55" s="146">
        <f>-(R10-Q10)*'Premissas Adotadas'!$K$31/360</f>
        <v>0</v>
      </c>
      <c r="S55" s="146">
        <f>-(S10-R10)*'Premissas Adotadas'!$K$31/360</f>
        <v>0</v>
      </c>
      <c r="T55" s="146">
        <f>-(T10-S10)*'Premissas Adotadas'!$K$31/360</f>
        <v>0</v>
      </c>
      <c r="U55" s="146">
        <f>-(U10-T10)*'Premissas Adotadas'!$K$31/360</f>
        <v>0</v>
      </c>
      <c r="V55" s="146">
        <f>-(V10-U10)*'Premissas Adotadas'!$K$31/360</f>
        <v>25108621.484521866</v>
      </c>
      <c r="W55" s="146">
        <f>-(W10-V10)*'Premissas Adotadas'!$K$31/360</f>
        <v>-17870239.999603715</v>
      </c>
      <c r="X55" s="146">
        <f>-(X10-W10)*'Premissas Adotadas'!$K$31/360</f>
        <v>17870239.999603715</v>
      </c>
      <c r="Y55" s="146">
        <f>-(Y10-X10)*'Premissas Adotadas'!$K$31/360</f>
        <v>-25108621.484521866</v>
      </c>
      <c r="Z55" s="146">
        <f>-(Z10-Y10)*'Premissas Adotadas'!$K$31/360</f>
        <v>19906856.063700017</v>
      </c>
      <c r="AA55" s="146">
        <f>-(AA10-Z10)*'Premissas Adotadas'!$K$31/360</f>
        <v>-17870239.999603715</v>
      </c>
      <c r="AB55" s="146">
        <f>-(AB10-AA10)*'Premissas Adotadas'!$K$31/360</f>
        <v>-2036616.0640962992</v>
      </c>
      <c r="AC55" s="146">
        <f>-(AC10-AB10)*'Premissas Adotadas'!$K$31/360</f>
        <v>2036616.0640962992</v>
      </c>
      <c r="AD55" s="146">
        <f>-(AD10-AC10)*'Premissas Adotadas'!$K$31/360</f>
        <v>-2036616.0640962992</v>
      </c>
      <c r="AE55" s="146">
        <f>-(AE10-AD10)*'Premissas Adotadas'!$K$31/360</f>
        <v>0</v>
      </c>
      <c r="AF55" s="146">
        <f>-(AF10-AE10)*'Premissas Adotadas'!$K$31/360</f>
        <v>5201765.4208218493</v>
      </c>
      <c r="AG55" s="146">
        <f>-(AG10-AF10)*'Premissas Adotadas'!$K$31/360</f>
        <v>0</v>
      </c>
      <c r="AH55" s="146">
        <f>-(AH10-AG10)*'Premissas Adotadas'!$K$31/360</f>
        <v>0</v>
      </c>
      <c r="AI55" s="146">
        <f>-(AI10-AH10)*'Premissas Adotadas'!$K$31/360</f>
        <v>-5201765.4208218493</v>
      </c>
      <c r="AJ55" s="146">
        <f>-(AJ10-AI10)*'Premissas Adotadas'!$K$31/360</f>
        <v>0</v>
      </c>
      <c r="AK55" s="146">
        <f>-(AK10-AJ10)*'Premissas Adotadas'!$K$31/360</f>
        <v>0</v>
      </c>
      <c r="AL55" s="146">
        <f>-(AL10-AK10)*'Premissas Adotadas'!$K$31/360</f>
        <v>0</v>
      </c>
      <c r="AM55" s="146">
        <f>-(AM10-AL10)*'Premissas Adotadas'!$K$31/360</f>
        <v>0</v>
      </c>
      <c r="AN55" s="146"/>
    </row>
    <row r="56" spans="2:40" x14ac:dyDescent="0.2">
      <c r="B56" s="224" t="s">
        <v>129</v>
      </c>
      <c r="C56" s="225">
        <f t="shared" si="21"/>
        <v>-696373171.7976017</v>
      </c>
      <c r="D56" s="478"/>
      <c r="E56" s="226">
        <f t="shared" ref="E56:AM56" si="25">SUM(E57:E58)</f>
        <v>-68558874.354304582</v>
      </c>
      <c r="F56" s="226">
        <f t="shared" si="25"/>
        <v>-81730460.258104399</v>
      </c>
      <c r="G56" s="226">
        <f t="shared" si="25"/>
        <v>-84150274.878506303</v>
      </c>
      <c r="H56" s="226">
        <f t="shared" si="25"/>
        <v>-166121734.3404215</v>
      </c>
      <c r="I56" s="226">
        <f t="shared" si="25"/>
        <v>-143765710.77304989</v>
      </c>
      <c r="J56" s="226">
        <f t="shared" si="25"/>
        <v>-117741178.34386092</v>
      </c>
      <c r="K56" s="226">
        <f t="shared" si="25"/>
        <v>-34304938.849354073</v>
      </c>
      <c r="L56" s="226">
        <f t="shared" si="25"/>
        <v>0</v>
      </c>
      <c r="M56" s="226">
        <f t="shared" si="25"/>
        <v>0</v>
      </c>
      <c r="N56" s="226">
        <f t="shared" si="25"/>
        <v>0</v>
      </c>
      <c r="O56" s="226">
        <f t="shared" si="25"/>
        <v>0</v>
      </c>
      <c r="P56" s="226">
        <f t="shared" si="25"/>
        <v>0</v>
      </c>
      <c r="Q56" s="226">
        <f t="shared" si="25"/>
        <v>0</v>
      </c>
      <c r="R56" s="226">
        <f t="shared" si="25"/>
        <v>0</v>
      </c>
      <c r="S56" s="226">
        <f t="shared" si="25"/>
        <v>0</v>
      </c>
      <c r="T56" s="226">
        <f t="shared" si="25"/>
        <v>0</v>
      </c>
      <c r="U56" s="226">
        <f t="shared" si="25"/>
        <v>0</v>
      </c>
      <c r="V56" s="226">
        <f t="shared" si="25"/>
        <v>0</v>
      </c>
      <c r="W56" s="226">
        <f t="shared" si="25"/>
        <v>0</v>
      </c>
      <c r="X56" s="226">
        <f t="shared" si="25"/>
        <v>0</v>
      </c>
      <c r="Y56" s="226">
        <f t="shared" si="25"/>
        <v>0</v>
      </c>
      <c r="Z56" s="226">
        <f t="shared" si="25"/>
        <v>0</v>
      </c>
      <c r="AA56" s="226">
        <f t="shared" si="25"/>
        <v>0</v>
      </c>
      <c r="AB56" s="226">
        <f t="shared" si="25"/>
        <v>0</v>
      </c>
      <c r="AC56" s="226">
        <f t="shared" si="25"/>
        <v>0</v>
      </c>
      <c r="AD56" s="226">
        <f t="shared" si="25"/>
        <v>0</v>
      </c>
      <c r="AE56" s="226">
        <f t="shared" si="25"/>
        <v>0</v>
      </c>
      <c r="AF56" s="226">
        <f t="shared" si="25"/>
        <v>0</v>
      </c>
      <c r="AG56" s="226">
        <f t="shared" si="25"/>
        <v>0</v>
      </c>
      <c r="AH56" s="226">
        <f t="shared" si="25"/>
        <v>0</v>
      </c>
      <c r="AI56" s="226">
        <f t="shared" si="25"/>
        <v>0</v>
      </c>
      <c r="AJ56" s="226">
        <f t="shared" si="25"/>
        <v>0</v>
      </c>
      <c r="AK56" s="226">
        <f t="shared" si="25"/>
        <v>0</v>
      </c>
      <c r="AL56" s="226">
        <f t="shared" si="25"/>
        <v>0</v>
      </c>
      <c r="AM56" s="226">
        <f t="shared" si="25"/>
        <v>0</v>
      </c>
    </row>
    <row r="57" spans="2:40" x14ac:dyDescent="0.2">
      <c r="B57" s="144" t="s">
        <v>57</v>
      </c>
      <c r="C57" s="190">
        <f t="shared" si="21"/>
        <v>-331764552.9600004</v>
      </c>
      <c r="D57" s="193"/>
      <c r="E57" s="146">
        <f>-'Cronograma IUC'!D48*'Premissas Adotadas'!$L$8</f>
        <v>-68558874.354304582</v>
      </c>
      <c r="F57" s="146">
        <f>-'Cronograma IUC'!E48*'Premissas Adotadas'!$L$8</f>
        <v>-81730460.258104399</v>
      </c>
      <c r="G57" s="146">
        <f>-'Cronograma IUC'!F48*'Premissas Adotadas'!$L$8</f>
        <v>-54048707.983025655</v>
      </c>
      <c r="H57" s="146">
        <f>-'Cronograma IUC'!G48*'Premissas Adotadas'!$L$8</f>
        <v>-57647619.40175245</v>
      </c>
      <c r="I57" s="146">
        <f>-'Cronograma IUC'!H48*'Premissas Adotadas'!$L$8</f>
        <v>-62220294.867905438</v>
      </c>
      <c r="J57" s="146">
        <f>-'Cronograma IUC'!I48*'Premissas Adotadas'!$L$8</f>
        <v>-7558596.0949078659</v>
      </c>
      <c r="K57" s="146">
        <f>-'Cronograma IUC'!J48*'Premissas Adotadas'!$L$8</f>
        <v>0</v>
      </c>
      <c r="L57" s="146">
        <f>-'Cronograma IUC'!K48*'Premissas Adotadas'!$L$8</f>
        <v>0</v>
      </c>
      <c r="M57" s="146">
        <f>-'Cronograma IUC'!L48*'Premissas Adotadas'!$L$8</f>
        <v>0</v>
      </c>
      <c r="N57" s="146">
        <f>-'Cronograma IUC'!M48*'Premissas Adotadas'!$L$8</f>
        <v>0</v>
      </c>
      <c r="O57" s="146">
        <f>-'Cronograma IUC'!N48*'Premissas Adotadas'!$L$8</f>
        <v>0</v>
      </c>
      <c r="P57" s="146">
        <f>-'Cronograma IUC'!O48*'Premissas Adotadas'!$L$8</f>
        <v>0</v>
      </c>
      <c r="Q57" s="146">
        <f>-'Cronograma IUC'!P48*'Premissas Adotadas'!$L$8</f>
        <v>0</v>
      </c>
      <c r="R57" s="146">
        <f>-'Cronograma IUC'!Q48*'Premissas Adotadas'!$L$8</f>
        <v>0</v>
      </c>
      <c r="S57" s="146">
        <f>-'Cronograma IUC'!R48*'Premissas Adotadas'!$L$8</f>
        <v>0</v>
      </c>
      <c r="T57" s="146">
        <f>-'Cronograma IUC'!S48*'Premissas Adotadas'!$L$8</f>
        <v>0</v>
      </c>
      <c r="U57" s="146">
        <f>-'Cronograma IUC'!T48*'Premissas Adotadas'!$L$8</f>
        <v>0</v>
      </c>
      <c r="V57" s="146">
        <f>-'Cronograma IUC'!U48*'Premissas Adotadas'!$L$8</f>
        <v>0</v>
      </c>
      <c r="W57" s="146">
        <f>-'Cronograma IUC'!V48*'Premissas Adotadas'!$L$8</f>
        <v>0</v>
      </c>
      <c r="X57" s="146">
        <f>-'Cronograma IUC'!W48*'Premissas Adotadas'!$L$8</f>
        <v>0</v>
      </c>
      <c r="Y57" s="146">
        <f>-'Cronograma IUC'!X48*'Premissas Adotadas'!$L$8</f>
        <v>0</v>
      </c>
      <c r="Z57" s="146">
        <f>-'Cronograma IUC'!Y48*'Premissas Adotadas'!$L$8</f>
        <v>0</v>
      </c>
      <c r="AA57" s="146">
        <f>-'Cronograma IUC'!Z48*'Premissas Adotadas'!$L$8</f>
        <v>0</v>
      </c>
      <c r="AB57" s="146">
        <f>-'Cronograma IUC'!AA48*'Premissas Adotadas'!$L$8</f>
        <v>0</v>
      </c>
      <c r="AC57" s="146">
        <f>-'Cronograma IUC'!AB48*'Premissas Adotadas'!$L$8</f>
        <v>0</v>
      </c>
      <c r="AD57" s="146">
        <f>-'Cronograma IUC'!AC48*'Premissas Adotadas'!$L$8</f>
        <v>0</v>
      </c>
      <c r="AE57" s="146">
        <f>-'Cronograma IUC'!AD48*'Premissas Adotadas'!$L$8</f>
        <v>0</v>
      </c>
      <c r="AF57" s="146">
        <f>-'Cronograma IUC'!AE48*'Premissas Adotadas'!$L$8</f>
        <v>0</v>
      </c>
      <c r="AG57" s="146">
        <f>-'Cronograma IUC'!AF48*'Premissas Adotadas'!$L$8</f>
        <v>0</v>
      </c>
      <c r="AH57" s="146">
        <f>-'Cronograma IUC'!AG48*'Premissas Adotadas'!$L$8</f>
        <v>0</v>
      </c>
      <c r="AI57" s="146">
        <f>-'Cronograma IUC'!AH48*'Premissas Adotadas'!$L$8</f>
        <v>0</v>
      </c>
      <c r="AJ57" s="146">
        <f>-'Cronograma IUC'!AI48*'Premissas Adotadas'!$L$8</f>
        <v>0</v>
      </c>
      <c r="AK57" s="146">
        <f>-'Cronograma IUC'!AJ48*'Premissas Adotadas'!$L$8</f>
        <v>0</v>
      </c>
      <c r="AL57" s="146">
        <f>-'Cronograma IUC'!AK48*'Premissas Adotadas'!$L$8</f>
        <v>0</v>
      </c>
      <c r="AM57" s="146">
        <f>-'Cronograma IUC'!AL48*'Premissas Adotadas'!$L$8</f>
        <v>0</v>
      </c>
    </row>
    <row r="58" spans="2:40" x14ac:dyDescent="0.2">
      <c r="B58" s="144" t="s">
        <v>24</v>
      </c>
      <c r="C58" s="190">
        <f t="shared" si="21"/>
        <v>-364608618.8376013</v>
      </c>
      <c r="D58" s="193"/>
      <c r="E58" s="146">
        <f>-('Cronograma de Implantação'!C17*'Premissas Adotadas'!$E$26+'Cronograma de Implantação'!C37*'Premissas Adotadas'!$E$27+'Cronograma de Implantação'!C41*'Premissas Adotadas'!$E$28+'Cronograma de Implantação'!C45*'Premissas Adotadas'!$E$29)</f>
        <v>0</v>
      </c>
      <c r="F58" s="146">
        <f>-('Cronograma de Implantação'!D17*'Premissas Adotadas'!$E$26+'Cronograma de Implantação'!D37*'Premissas Adotadas'!$E$27+'Cronograma de Implantação'!D41*'Premissas Adotadas'!$E$28+'Cronograma de Implantação'!D45*'Premissas Adotadas'!$E$29)</f>
        <v>0</v>
      </c>
      <c r="G58" s="146">
        <f>-('Cronograma de Implantação'!E17*'Premissas Adotadas'!$E$26+'Cronograma de Implantação'!E37*'Premissas Adotadas'!$E$27+'Cronograma de Implantação'!E41*'Premissas Adotadas'!$E$28+'Cronograma de Implantação'!E45*'Premissas Adotadas'!$E$29)</f>
        <v>-30101566.895480655</v>
      </c>
      <c r="H58" s="146">
        <f>-('Cronograma de Implantação'!F17*'Premissas Adotadas'!$E$26+'Cronograma de Implantação'!F37*'Premissas Adotadas'!$E$27+'Cronograma de Implantação'!F41*'Premissas Adotadas'!$E$28+'Cronograma de Implantação'!F45*'Premissas Adotadas'!$E$29)</f>
        <v>-108474114.93866906</v>
      </c>
      <c r="I58" s="146">
        <f>-('Cronograma de Implantação'!G17*'Premissas Adotadas'!$E$26+'Cronograma de Implantação'!G37*'Premissas Adotadas'!$E$27+'Cronograma de Implantação'!G41*'Premissas Adotadas'!$E$28+'Cronograma de Implantação'!G45*'Premissas Adotadas'!$E$29)</f>
        <v>-81545415.905144438</v>
      </c>
      <c r="J58" s="146">
        <f>-('Cronograma de Implantação'!H17*'Premissas Adotadas'!$E$26+'Cronograma de Implantação'!H37*'Premissas Adotadas'!$E$27+'Cronograma de Implantação'!H41*'Premissas Adotadas'!$E$28+'Cronograma de Implantação'!H45*'Premissas Adotadas'!$E$29)</f>
        <v>-110182582.24895306</v>
      </c>
      <c r="K58" s="146">
        <f>-('Cronograma de Implantação'!I17*'Premissas Adotadas'!$E$26+'Cronograma de Implantação'!I37*'Premissas Adotadas'!$E$27+'Cronograma de Implantação'!I41*'Premissas Adotadas'!$E$28+'Cronograma de Implantação'!I45*'Premissas Adotadas'!$E$29)</f>
        <v>-34304938.849354073</v>
      </c>
      <c r="L58" s="146">
        <f>-('Cronograma de Implantação'!J17*'Premissas Adotadas'!$E$26+'Cronograma de Implantação'!J37*'Premissas Adotadas'!$E$27+'Cronograma de Implantação'!J41*'Premissas Adotadas'!$E$28+'Cronograma de Implantação'!J45*'Premissas Adotadas'!$E$29)</f>
        <v>0</v>
      </c>
      <c r="M58" s="146">
        <f>-('Cronograma de Implantação'!K17*'Premissas Adotadas'!$E$26+'Cronograma de Implantação'!K37*'Premissas Adotadas'!$E$27+'Cronograma de Implantação'!K41*'Premissas Adotadas'!$E$28+'Cronograma de Implantação'!K45*'Premissas Adotadas'!$E$29)</f>
        <v>0</v>
      </c>
      <c r="N58" s="146">
        <f>-('Cronograma de Implantação'!L17*'Premissas Adotadas'!$E$26+'Cronograma de Implantação'!L37*'Premissas Adotadas'!$E$27+'Cronograma de Implantação'!L41*'Premissas Adotadas'!$E$28+'Cronograma de Implantação'!L45*'Premissas Adotadas'!$E$29)</f>
        <v>0</v>
      </c>
      <c r="O58" s="146">
        <f>-('Cronograma de Implantação'!M17*'Premissas Adotadas'!$E$26+'Cronograma de Implantação'!M37*'Premissas Adotadas'!$E$27+'Cronograma de Implantação'!M41*'Premissas Adotadas'!$E$28+'Cronograma de Implantação'!M45*'Premissas Adotadas'!$E$29)</f>
        <v>0</v>
      </c>
      <c r="P58" s="146">
        <f>-('Cronograma de Implantação'!N17*'Premissas Adotadas'!$E$26+'Cronograma de Implantação'!N37*'Premissas Adotadas'!$E$27+'Cronograma de Implantação'!N41*'Premissas Adotadas'!$E$28+'Cronograma de Implantação'!N45*'Premissas Adotadas'!$E$29)</f>
        <v>0</v>
      </c>
      <c r="Q58" s="146">
        <f>-('Cronograma de Implantação'!O17*'Premissas Adotadas'!$E$26+'Cronograma de Implantação'!O37*'Premissas Adotadas'!$E$27+'Cronograma de Implantação'!O41*'Premissas Adotadas'!$E$28+'Cronograma de Implantação'!O45*'Premissas Adotadas'!$E$29)</f>
        <v>0</v>
      </c>
      <c r="R58" s="146">
        <f>-('Cronograma de Implantação'!P17*'Premissas Adotadas'!$E$26+'Cronograma de Implantação'!P37*'Premissas Adotadas'!$E$27+'Cronograma de Implantação'!P41*'Premissas Adotadas'!$E$28+'Cronograma de Implantação'!P45*'Premissas Adotadas'!$E$29)</f>
        <v>0</v>
      </c>
      <c r="S58" s="146">
        <f>-('Cronograma de Implantação'!Q17*'Premissas Adotadas'!$E$26+'Cronograma de Implantação'!Q37*'Premissas Adotadas'!$E$27+'Cronograma de Implantação'!Q41*'Premissas Adotadas'!$E$28+'Cronograma de Implantação'!Q45*'Premissas Adotadas'!$E$29)</f>
        <v>0</v>
      </c>
      <c r="T58" s="146">
        <f>-('Cronograma de Implantação'!R17*'Premissas Adotadas'!$E$26+'Cronograma de Implantação'!R37*'Premissas Adotadas'!$E$27+'Cronograma de Implantação'!R41*'Premissas Adotadas'!$E$28+'Cronograma de Implantação'!R45*'Premissas Adotadas'!$E$29)</f>
        <v>0</v>
      </c>
      <c r="U58" s="146">
        <f>-('Cronograma de Implantação'!S17*'Premissas Adotadas'!$E$26+'Cronograma de Implantação'!S37*'Premissas Adotadas'!$E$27+'Cronograma de Implantação'!S41*'Premissas Adotadas'!$E$28+'Cronograma de Implantação'!S45*'Premissas Adotadas'!$E$29)</f>
        <v>0</v>
      </c>
      <c r="V58" s="146">
        <f>-('Cronograma de Implantação'!T17*'Premissas Adotadas'!$E$26+'Cronograma de Implantação'!T37*'Premissas Adotadas'!$E$27+'Cronograma de Implantação'!T41*'Premissas Adotadas'!$E$28+'Cronograma de Implantação'!T45*'Premissas Adotadas'!$E$29)</f>
        <v>0</v>
      </c>
      <c r="W58" s="146">
        <f>-('Cronograma de Implantação'!U17*'Premissas Adotadas'!$E$26+'Cronograma de Implantação'!U37*'Premissas Adotadas'!$E$27+'Cronograma de Implantação'!U41*'Premissas Adotadas'!$E$28+'Cronograma de Implantação'!U45*'Premissas Adotadas'!$E$29)</f>
        <v>0</v>
      </c>
      <c r="X58" s="146">
        <f>-('Cronograma de Implantação'!V17*'Premissas Adotadas'!$E$26+'Cronograma de Implantação'!V37*'Premissas Adotadas'!$E$27+'Cronograma de Implantação'!V41*'Premissas Adotadas'!$E$28+'Cronograma de Implantação'!V45*'Premissas Adotadas'!$E$29)</f>
        <v>0</v>
      </c>
      <c r="Y58" s="146">
        <f>-('Cronograma de Implantação'!W17*'Premissas Adotadas'!$E$26+'Cronograma de Implantação'!W37*'Premissas Adotadas'!$E$27+'Cronograma de Implantação'!W41*'Premissas Adotadas'!$E$28+'Cronograma de Implantação'!W45*'Premissas Adotadas'!$E$29)</f>
        <v>0</v>
      </c>
      <c r="Z58" s="146">
        <f>-('Cronograma de Implantação'!X17*'Premissas Adotadas'!$E$26+'Cronograma de Implantação'!X37*'Premissas Adotadas'!$E$27+'Cronograma de Implantação'!X41*'Premissas Adotadas'!$E$28+'Cronograma de Implantação'!X45*'Premissas Adotadas'!$E$29)</f>
        <v>0</v>
      </c>
      <c r="AA58" s="146">
        <f>-('Cronograma de Implantação'!Y17*'Premissas Adotadas'!$E$26+'Cronograma de Implantação'!Y37*'Premissas Adotadas'!$E$27+'Cronograma de Implantação'!Y41*'Premissas Adotadas'!$E$28+'Cronograma de Implantação'!Y45*'Premissas Adotadas'!$E$29)</f>
        <v>0</v>
      </c>
      <c r="AB58" s="146">
        <f>-('Cronograma de Implantação'!Z17*'Premissas Adotadas'!$E$26+'Cronograma de Implantação'!Z37*'Premissas Adotadas'!$E$27+'Cronograma de Implantação'!Z41*'Premissas Adotadas'!$E$28+'Cronograma de Implantação'!Z45*'Premissas Adotadas'!$E$29)</f>
        <v>0</v>
      </c>
      <c r="AC58" s="146">
        <f>-('Cronograma de Implantação'!AA17*'Premissas Adotadas'!$E$26+'Cronograma de Implantação'!AA37*'Premissas Adotadas'!$E$27+'Cronograma de Implantação'!AA41*'Premissas Adotadas'!$E$28+'Cronograma de Implantação'!AA45*'Premissas Adotadas'!$E$29)</f>
        <v>0</v>
      </c>
      <c r="AD58" s="146">
        <f>-('Cronograma de Implantação'!AB17*'Premissas Adotadas'!$E$26+'Cronograma de Implantação'!AB37*'Premissas Adotadas'!$E$27+'Cronograma de Implantação'!AB41*'Premissas Adotadas'!$E$28+'Cronograma de Implantação'!AB45*'Premissas Adotadas'!$E$29)</f>
        <v>0</v>
      </c>
      <c r="AE58" s="146">
        <f>-('Cronograma de Implantação'!AC17*'Premissas Adotadas'!$E$26+'Cronograma de Implantação'!AC37*'Premissas Adotadas'!$E$27+'Cronograma de Implantação'!AC41*'Premissas Adotadas'!$E$28+'Cronograma de Implantação'!AC45*'Premissas Adotadas'!$E$29)</f>
        <v>0</v>
      </c>
      <c r="AF58" s="146">
        <f>-('Cronograma de Implantação'!AD17*'Premissas Adotadas'!$E$26+'Cronograma de Implantação'!AD37*'Premissas Adotadas'!$E$27+'Cronograma de Implantação'!AD41*'Premissas Adotadas'!$E$28+'Cronograma de Implantação'!AD45*'Premissas Adotadas'!$E$29)</f>
        <v>0</v>
      </c>
      <c r="AG58" s="146">
        <f>-('Cronograma de Implantação'!AE17*'Premissas Adotadas'!$E$26+'Cronograma de Implantação'!AE37*'Premissas Adotadas'!$E$27+'Cronograma de Implantação'!AE41*'Premissas Adotadas'!$E$28+'Cronograma de Implantação'!AE45*'Premissas Adotadas'!$E$29)</f>
        <v>0</v>
      </c>
      <c r="AH58" s="146">
        <f>-('Cronograma de Implantação'!AF17*'Premissas Adotadas'!$E$26+'Cronograma de Implantação'!AF37*'Premissas Adotadas'!$E$27+'Cronograma de Implantação'!AF41*'Premissas Adotadas'!$E$28+'Cronograma de Implantação'!AF45*'Premissas Adotadas'!$E$29)</f>
        <v>0</v>
      </c>
      <c r="AI58" s="146">
        <f>-('Cronograma de Implantação'!AG17*'Premissas Adotadas'!$E$26+'Cronograma de Implantação'!AG37*'Premissas Adotadas'!$E$27+'Cronograma de Implantação'!AG41*'Premissas Adotadas'!$E$28+'Cronograma de Implantação'!AG45*'Premissas Adotadas'!$E$29)</f>
        <v>0</v>
      </c>
      <c r="AJ58" s="146">
        <f>-('Cronograma de Implantação'!AH17*'Premissas Adotadas'!$E$26+'Cronograma de Implantação'!AH37*'Premissas Adotadas'!$E$27+'Cronograma de Implantação'!AH41*'Premissas Adotadas'!$E$28+'Cronograma de Implantação'!AH45*'Premissas Adotadas'!$E$29)</f>
        <v>0</v>
      </c>
      <c r="AK58" s="146">
        <f>-('Cronograma de Implantação'!AI17*'Premissas Adotadas'!$E$26+'Cronograma de Implantação'!AI37*'Premissas Adotadas'!$E$27+'Cronograma de Implantação'!AI41*'Premissas Adotadas'!$E$28+'Cronograma de Implantação'!AI45*'Premissas Adotadas'!$E$29)</f>
        <v>0</v>
      </c>
      <c r="AL58" s="146">
        <f>-('Cronograma de Implantação'!AJ17*'Premissas Adotadas'!$E$26+'Cronograma de Implantação'!AJ37*'Premissas Adotadas'!$E$27+'Cronograma de Implantação'!AJ41*'Premissas Adotadas'!$E$28+'Cronograma de Implantação'!AJ45*'Premissas Adotadas'!$E$29)</f>
        <v>0</v>
      </c>
      <c r="AM58" s="146">
        <f>-('Cronograma de Implantação'!AK17*'Premissas Adotadas'!$E$26+'Cronograma de Implantação'!AK37*'Premissas Adotadas'!$E$27+'Cronograma de Implantação'!AK41*'Premissas Adotadas'!$E$28+'Cronograma de Implantação'!AK45*'Premissas Adotadas'!$E$29)</f>
        <v>0</v>
      </c>
    </row>
    <row r="59" spans="2:40" x14ac:dyDescent="0.2">
      <c r="B59" s="224" t="s">
        <v>130</v>
      </c>
      <c r="C59" s="225">
        <f t="shared" si="21"/>
        <v>1625903437.2657382</v>
      </c>
      <c r="D59" s="478"/>
      <c r="E59" s="226">
        <f t="shared" ref="E59:AM59" si="26">E52+E56</f>
        <v>-84880553.895277083</v>
      </c>
      <c r="F59" s="226">
        <f t="shared" si="26"/>
        <v>-84533119.580440611</v>
      </c>
      <c r="G59" s="226">
        <f t="shared" si="26"/>
        <v>-97599024.801810652</v>
      </c>
      <c r="H59" s="226">
        <f t="shared" si="26"/>
        <v>-213793728.32678929</v>
      </c>
      <c r="I59" s="226">
        <f t="shared" si="26"/>
        <v>-192682606.68481705</v>
      </c>
      <c r="J59" s="226">
        <f t="shared" si="26"/>
        <v>-144896564.96881732</v>
      </c>
      <c r="K59" s="226">
        <f t="shared" si="26"/>
        <v>-10954419.430369571</v>
      </c>
      <c r="L59" s="226">
        <f t="shared" si="26"/>
        <v>65102981.805167757</v>
      </c>
      <c r="M59" s="226">
        <f t="shared" si="26"/>
        <v>88923049.21334824</v>
      </c>
      <c r="N59" s="226">
        <f t="shared" si="26"/>
        <v>95116836.99505049</v>
      </c>
      <c r="O59" s="226">
        <f t="shared" si="26"/>
        <v>106531405.50376801</v>
      </c>
      <c r="P59" s="226">
        <f t="shared" si="26"/>
        <v>111730755.86853462</v>
      </c>
      <c r="Q59" s="226">
        <f t="shared" si="26"/>
        <v>111733170.92458986</v>
      </c>
      <c r="R59" s="226">
        <f t="shared" si="26"/>
        <v>104602246.81449997</v>
      </c>
      <c r="S59" s="226">
        <f t="shared" si="26"/>
        <v>101810077.15800761</v>
      </c>
      <c r="T59" s="226">
        <f t="shared" si="26"/>
        <v>101810077.15800761</v>
      </c>
      <c r="U59" s="226">
        <f t="shared" si="26"/>
        <v>101810077.15800761</v>
      </c>
      <c r="V59" s="226">
        <f t="shared" si="26"/>
        <v>72788788.368744493</v>
      </c>
      <c r="W59" s="226">
        <f t="shared" si="26"/>
        <v>67055635.420417696</v>
      </c>
      <c r="X59" s="226">
        <f t="shared" si="26"/>
        <v>62411449.876420856</v>
      </c>
      <c r="Y59" s="226">
        <f t="shared" si="26"/>
        <v>71712044.124728411</v>
      </c>
      <c r="Z59" s="226">
        <f t="shared" si="26"/>
        <v>71754244.219622687</v>
      </c>
      <c r="AA59" s="226">
        <f t="shared" si="26"/>
        <v>71125488.480328009</v>
      </c>
      <c r="AB59" s="226">
        <f t="shared" si="26"/>
        <v>91506907.286090434</v>
      </c>
      <c r="AC59" s="226">
        <f t="shared" si="26"/>
        <v>91032344.544028029</v>
      </c>
      <c r="AD59" s="226">
        <f t="shared" si="26"/>
        <v>91508999.066925675</v>
      </c>
      <c r="AE59" s="226">
        <f t="shared" si="26"/>
        <v>92613214.439803436</v>
      </c>
      <c r="AF59" s="226">
        <f t="shared" si="26"/>
        <v>85051432.697183341</v>
      </c>
      <c r="AG59" s="226">
        <f t="shared" si="26"/>
        <v>79114604.847792342</v>
      </c>
      <c r="AH59" s="226">
        <f t="shared" si="26"/>
        <v>78328505.443093255</v>
      </c>
      <c r="AI59" s="226">
        <f t="shared" si="26"/>
        <v>83934648.696834862</v>
      </c>
      <c r="AJ59" s="226">
        <f t="shared" si="26"/>
        <v>89033617.210765973</v>
      </c>
      <c r="AK59" s="226">
        <f t="shared" si="26"/>
        <v>89033617.210765973</v>
      </c>
      <c r="AL59" s="226">
        <f t="shared" si="26"/>
        <v>89033617.210765973</v>
      </c>
      <c r="AM59" s="226">
        <f t="shared" si="26"/>
        <v>89033617.210765973</v>
      </c>
    </row>
    <row r="60" spans="2:40" x14ac:dyDescent="0.2">
      <c r="B60" s="224" t="s">
        <v>201</v>
      </c>
      <c r="C60" s="225"/>
      <c r="D60" s="478"/>
      <c r="E60" s="226">
        <f>E59</f>
        <v>-84880553.895277083</v>
      </c>
      <c r="F60" s="226">
        <f>E60+F59</f>
        <v>-169413673.47571769</v>
      </c>
      <c r="G60" s="226">
        <f t="shared" ref="G60:AM60" si="27">F60+G59</f>
        <v>-267012698.27752835</v>
      </c>
      <c r="H60" s="226">
        <f t="shared" si="27"/>
        <v>-480806426.60431767</v>
      </c>
      <c r="I60" s="226">
        <f t="shared" si="27"/>
        <v>-673489033.28913474</v>
      </c>
      <c r="J60" s="226">
        <f t="shared" si="27"/>
        <v>-818385598.25795209</v>
      </c>
      <c r="K60" s="226">
        <f t="shared" si="27"/>
        <v>-829340017.68832171</v>
      </c>
      <c r="L60" s="226">
        <f t="shared" si="27"/>
        <v>-764237035.88315392</v>
      </c>
      <c r="M60" s="226">
        <f t="shared" si="27"/>
        <v>-675313986.66980565</v>
      </c>
      <c r="N60" s="226">
        <f t="shared" si="27"/>
        <v>-580197149.6747551</v>
      </c>
      <c r="O60" s="226">
        <f t="shared" si="27"/>
        <v>-473665744.17098707</v>
      </c>
      <c r="P60" s="226">
        <f t="shared" si="27"/>
        <v>-361934988.30245245</v>
      </c>
      <c r="Q60" s="226">
        <f t="shared" si="27"/>
        <v>-250201817.37786257</v>
      </c>
      <c r="R60" s="226">
        <f t="shared" si="27"/>
        <v>-145599570.5633626</v>
      </c>
      <c r="S60" s="226">
        <f t="shared" si="27"/>
        <v>-43789493.405354992</v>
      </c>
      <c r="T60" s="226">
        <f t="shared" si="27"/>
        <v>58020583.752652615</v>
      </c>
      <c r="U60" s="226">
        <f t="shared" si="27"/>
        <v>159830660.91066021</v>
      </c>
      <c r="V60" s="226">
        <f t="shared" si="27"/>
        <v>232619449.2794047</v>
      </c>
      <c r="W60" s="226">
        <f t="shared" si="27"/>
        <v>299675084.69982243</v>
      </c>
      <c r="X60" s="226">
        <f t="shared" si="27"/>
        <v>362086534.57624328</v>
      </c>
      <c r="Y60" s="226">
        <f t="shared" si="27"/>
        <v>433798578.70097172</v>
      </c>
      <c r="Z60" s="226">
        <f t="shared" si="27"/>
        <v>505552822.92059439</v>
      </c>
      <c r="AA60" s="226">
        <f t="shared" si="27"/>
        <v>576678311.40092242</v>
      </c>
      <c r="AB60" s="226">
        <f t="shared" si="27"/>
        <v>668185218.68701291</v>
      </c>
      <c r="AC60" s="226">
        <f t="shared" si="27"/>
        <v>759217563.23104095</v>
      </c>
      <c r="AD60" s="226">
        <f t="shared" si="27"/>
        <v>850726562.2979666</v>
      </c>
      <c r="AE60" s="226">
        <f t="shared" si="27"/>
        <v>943339776.73777008</v>
      </c>
      <c r="AF60" s="226">
        <f t="shared" si="27"/>
        <v>1028391209.4349535</v>
      </c>
      <c r="AG60" s="226">
        <f t="shared" si="27"/>
        <v>1107505814.2827458</v>
      </c>
      <c r="AH60" s="226">
        <f t="shared" si="27"/>
        <v>1185834319.7258391</v>
      </c>
      <c r="AI60" s="226">
        <f t="shared" si="27"/>
        <v>1269768968.4226739</v>
      </c>
      <c r="AJ60" s="226">
        <f t="shared" si="27"/>
        <v>1358802585.63344</v>
      </c>
      <c r="AK60" s="226">
        <f t="shared" si="27"/>
        <v>1447836202.8442061</v>
      </c>
      <c r="AL60" s="226">
        <f t="shared" si="27"/>
        <v>1536869820.0549722</v>
      </c>
      <c r="AM60" s="226">
        <f t="shared" si="27"/>
        <v>1625903437.2657382</v>
      </c>
    </row>
    <row r="61" spans="2:40" x14ac:dyDescent="0.2">
      <c r="C61" s="146"/>
      <c r="D61" s="231"/>
      <c r="E61" s="143">
        <f>IF(E60&lt;0,D61+1,D61)</f>
        <v>1</v>
      </c>
      <c r="F61" s="143">
        <f t="shared" ref="F61:AM61" si="28">IF(F60&lt;0,E61+1,E61)</f>
        <v>2</v>
      </c>
      <c r="G61" s="143">
        <f t="shared" si="28"/>
        <v>3</v>
      </c>
      <c r="H61" s="143">
        <f t="shared" si="28"/>
        <v>4</v>
      </c>
      <c r="I61" s="143">
        <f t="shared" si="28"/>
        <v>5</v>
      </c>
      <c r="J61" s="143">
        <f t="shared" si="28"/>
        <v>6</v>
      </c>
      <c r="K61" s="143">
        <f t="shared" si="28"/>
        <v>7</v>
      </c>
      <c r="L61" s="143">
        <f t="shared" si="28"/>
        <v>8</v>
      </c>
      <c r="M61" s="143">
        <f t="shared" si="28"/>
        <v>9</v>
      </c>
      <c r="N61" s="143">
        <f t="shared" si="28"/>
        <v>10</v>
      </c>
      <c r="O61" s="143">
        <f t="shared" si="28"/>
        <v>11</v>
      </c>
      <c r="P61" s="143">
        <f t="shared" si="28"/>
        <v>12</v>
      </c>
      <c r="Q61" s="143">
        <f t="shared" si="28"/>
        <v>13</v>
      </c>
      <c r="R61" s="143">
        <f t="shared" si="28"/>
        <v>14</v>
      </c>
      <c r="S61" s="143">
        <f t="shared" si="28"/>
        <v>15</v>
      </c>
      <c r="T61" s="143">
        <f t="shared" si="28"/>
        <v>15</v>
      </c>
      <c r="U61" s="143">
        <f t="shared" si="28"/>
        <v>15</v>
      </c>
      <c r="V61" s="143">
        <f t="shared" si="28"/>
        <v>15</v>
      </c>
      <c r="W61" s="143">
        <f t="shared" si="28"/>
        <v>15</v>
      </c>
      <c r="X61" s="143">
        <f t="shared" si="28"/>
        <v>15</v>
      </c>
      <c r="Y61" s="143">
        <f t="shared" si="28"/>
        <v>15</v>
      </c>
      <c r="Z61" s="143">
        <f t="shared" si="28"/>
        <v>15</v>
      </c>
      <c r="AA61" s="143">
        <f t="shared" si="28"/>
        <v>15</v>
      </c>
      <c r="AB61" s="143">
        <f t="shared" si="28"/>
        <v>15</v>
      </c>
      <c r="AC61" s="143">
        <f t="shared" si="28"/>
        <v>15</v>
      </c>
      <c r="AD61" s="143">
        <f t="shared" si="28"/>
        <v>15</v>
      </c>
      <c r="AE61" s="143">
        <f t="shared" si="28"/>
        <v>15</v>
      </c>
      <c r="AF61" s="143">
        <f t="shared" si="28"/>
        <v>15</v>
      </c>
      <c r="AG61" s="143">
        <f t="shared" si="28"/>
        <v>15</v>
      </c>
      <c r="AH61" s="143">
        <f t="shared" si="28"/>
        <v>15</v>
      </c>
      <c r="AI61" s="143">
        <f t="shared" si="28"/>
        <v>15</v>
      </c>
      <c r="AJ61" s="143">
        <f t="shared" si="28"/>
        <v>15</v>
      </c>
      <c r="AK61" s="143">
        <f t="shared" si="28"/>
        <v>15</v>
      </c>
      <c r="AL61" s="143">
        <f t="shared" si="28"/>
        <v>15</v>
      </c>
      <c r="AM61" s="143">
        <f t="shared" si="28"/>
        <v>15</v>
      </c>
    </row>
    <row r="62" spans="2:40" x14ac:dyDescent="0.2">
      <c r="B62" s="159" t="s">
        <v>131</v>
      </c>
      <c r="C62" s="160">
        <f>'Premissas Adotadas'!K30</f>
        <v>8.3671381184703575E-2</v>
      </c>
      <c r="D62" s="231"/>
      <c r="G62" s="147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47"/>
      <c r="U62" s="147"/>
      <c r="V62" s="147"/>
      <c r="W62" s="147"/>
      <c r="X62" s="147"/>
      <c r="Y62" s="147"/>
      <c r="Z62" s="147"/>
      <c r="AA62" s="147"/>
      <c r="AB62" s="147"/>
      <c r="AC62" s="147"/>
      <c r="AD62" s="147"/>
      <c r="AE62" s="147"/>
      <c r="AF62" s="147"/>
      <c r="AG62" s="147"/>
      <c r="AH62" s="147"/>
      <c r="AI62" s="147"/>
      <c r="AJ62" s="147"/>
      <c r="AK62" s="147"/>
      <c r="AL62" s="147"/>
      <c r="AM62" s="147"/>
    </row>
    <row r="63" spans="2:40" ht="13.5" thickBot="1" x14ac:dyDescent="0.25">
      <c r="D63" s="231"/>
      <c r="E63" s="146"/>
      <c r="G63" s="147"/>
      <c r="H63" s="147"/>
      <c r="I63" s="147"/>
      <c r="J63" s="147"/>
      <c r="K63" s="147"/>
      <c r="L63" s="147"/>
      <c r="M63" s="147"/>
      <c r="N63" s="147"/>
      <c r="O63" s="147"/>
      <c r="P63" s="147"/>
      <c r="Q63" s="147"/>
      <c r="R63" s="147"/>
      <c r="S63" s="147"/>
      <c r="T63" s="147"/>
      <c r="U63" s="147"/>
      <c r="V63" s="147"/>
      <c r="W63" s="147"/>
      <c r="X63" s="147"/>
      <c r="Y63" s="147"/>
      <c r="Z63" s="147"/>
      <c r="AA63" s="147"/>
      <c r="AB63" s="147"/>
      <c r="AC63" s="147"/>
      <c r="AD63" s="147"/>
      <c r="AE63" s="147"/>
      <c r="AF63" s="147"/>
      <c r="AG63" s="147"/>
      <c r="AH63" s="147"/>
      <c r="AI63" s="147"/>
      <c r="AJ63" s="147"/>
      <c r="AK63" s="147"/>
      <c r="AL63" s="147"/>
      <c r="AM63" s="147"/>
    </row>
    <row r="64" spans="2:40" x14ac:dyDescent="0.2">
      <c r="B64" s="175" t="s">
        <v>132</v>
      </c>
      <c r="C64" s="176">
        <f>E59+NPV(C62,F59:AM59)</f>
        <v>-63908759.268636778</v>
      </c>
      <c r="D64" s="231"/>
      <c r="E64" s="146"/>
      <c r="F64" s="146"/>
      <c r="G64" s="146"/>
      <c r="J64" s="147"/>
      <c r="K64" s="147"/>
      <c r="L64" s="147"/>
      <c r="M64" s="147"/>
      <c r="N64" s="147"/>
      <c r="O64" s="147"/>
      <c r="P64" s="147"/>
      <c r="Q64" s="147"/>
      <c r="R64" s="147"/>
      <c r="S64" s="147"/>
      <c r="T64" s="147"/>
      <c r="U64" s="147"/>
      <c r="V64" s="147"/>
      <c r="W64" s="147"/>
      <c r="X64" s="147"/>
      <c r="Y64" s="147"/>
      <c r="Z64" s="147"/>
      <c r="AA64" s="147"/>
      <c r="AB64" s="147"/>
      <c r="AC64" s="147"/>
      <c r="AD64" s="147"/>
      <c r="AE64" s="147"/>
      <c r="AF64" s="147"/>
      <c r="AG64" s="147"/>
      <c r="AH64" s="147"/>
      <c r="AI64" s="147"/>
      <c r="AJ64" s="147"/>
      <c r="AK64" s="147"/>
      <c r="AL64" s="147"/>
      <c r="AM64" s="147"/>
    </row>
    <row r="65" spans="2:39" x14ac:dyDescent="0.2">
      <c r="B65" s="177" t="s">
        <v>133</v>
      </c>
      <c r="C65" s="178">
        <f>(AM59/C62)/(1+C62)^35</f>
        <v>63908839.827511601</v>
      </c>
      <c r="D65" s="231"/>
      <c r="E65" s="146"/>
      <c r="F65" s="146"/>
      <c r="G65" s="146"/>
      <c r="J65" s="147"/>
      <c r="K65" s="147"/>
      <c r="L65" s="147"/>
      <c r="M65" s="147"/>
      <c r="N65" s="147"/>
      <c r="O65" s="147"/>
      <c r="P65" s="147"/>
      <c r="Q65" s="147"/>
      <c r="R65" s="147"/>
      <c r="S65" s="147"/>
      <c r="T65" s="147"/>
      <c r="U65" s="147"/>
      <c r="V65" s="147"/>
      <c r="W65" s="147"/>
      <c r="X65" s="147"/>
      <c r="Y65" s="147"/>
      <c r="Z65" s="147"/>
      <c r="AA65" s="147"/>
      <c r="AB65" s="147"/>
      <c r="AC65" s="147"/>
      <c r="AD65" s="147"/>
      <c r="AE65" s="147"/>
      <c r="AF65" s="147"/>
      <c r="AG65" s="147"/>
      <c r="AH65" s="147"/>
      <c r="AI65" s="147"/>
      <c r="AJ65" s="147"/>
      <c r="AK65" s="147"/>
      <c r="AL65" s="147"/>
      <c r="AM65" s="147"/>
    </row>
    <row r="66" spans="2:39" ht="13.5" thickBot="1" x14ac:dyDescent="0.25">
      <c r="B66" s="179" t="s">
        <v>134</v>
      </c>
      <c r="C66" s="180">
        <f>C64+C65</f>
        <v>80.558874823153019</v>
      </c>
      <c r="D66" s="231"/>
      <c r="E66" s="146"/>
      <c r="F66" s="146"/>
      <c r="G66" s="146"/>
      <c r="J66" s="147"/>
      <c r="K66" s="147"/>
      <c r="L66" s="147"/>
      <c r="M66" s="147"/>
      <c r="N66" s="147"/>
      <c r="O66" s="147"/>
      <c r="P66" s="147"/>
      <c r="Q66" s="147"/>
      <c r="R66" s="147"/>
      <c r="S66" s="147"/>
      <c r="T66" s="147"/>
      <c r="U66" s="147"/>
      <c r="V66" s="147"/>
      <c r="W66" s="147"/>
      <c r="X66" s="147"/>
      <c r="Y66" s="147"/>
      <c r="Z66" s="147"/>
      <c r="AA66" s="147"/>
      <c r="AB66" s="147"/>
      <c r="AC66" s="147"/>
      <c r="AD66" s="147"/>
      <c r="AE66" s="147"/>
      <c r="AF66" s="147"/>
      <c r="AG66" s="147"/>
      <c r="AH66" s="147"/>
      <c r="AI66" s="147"/>
      <c r="AJ66" s="147"/>
      <c r="AK66" s="147"/>
      <c r="AL66" s="147"/>
      <c r="AM66" s="147"/>
    </row>
    <row r="67" spans="2:39" ht="13.5" thickBot="1" x14ac:dyDescent="0.25">
      <c r="D67" s="231"/>
      <c r="E67" s="146"/>
      <c r="F67" s="146"/>
      <c r="G67" s="146"/>
      <c r="H67" s="147"/>
      <c r="I67" s="147"/>
      <c r="J67" s="147"/>
      <c r="K67" s="147"/>
      <c r="L67" s="147"/>
      <c r="M67" s="147"/>
      <c r="N67" s="147"/>
      <c r="O67" s="147"/>
      <c r="P67" s="147"/>
      <c r="Q67" s="147"/>
      <c r="R67" s="147"/>
      <c r="S67" s="147"/>
      <c r="T67" s="147"/>
      <c r="U67" s="147"/>
      <c r="V67" s="147"/>
      <c r="W67" s="147"/>
      <c r="X67" s="147"/>
      <c r="Y67" s="147"/>
      <c r="Z67" s="147"/>
      <c r="AA67" s="147"/>
      <c r="AB67" s="147"/>
      <c r="AC67" s="147"/>
      <c r="AD67" s="147"/>
      <c r="AE67" s="147"/>
      <c r="AF67" s="147"/>
      <c r="AG67" s="147"/>
      <c r="AH67" s="147"/>
      <c r="AI67" s="147"/>
      <c r="AJ67" s="147"/>
      <c r="AK67" s="147"/>
      <c r="AL67" s="147"/>
      <c r="AM67" s="147"/>
    </row>
    <row r="68" spans="2:39" ht="13.5" thickBot="1" x14ac:dyDescent="0.25">
      <c r="B68" s="204" t="s">
        <v>76</v>
      </c>
      <c r="C68" s="233">
        <f>IRR(E85:AN85)</f>
        <v>8.367139033868809E-2</v>
      </c>
      <c r="D68" s="231"/>
      <c r="E68" s="146"/>
      <c r="F68" s="146"/>
      <c r="G68" s="146"/>
      <c r="H68" s="147"/>
      <c r="I68" s="147"/>
      <c r="J68" s="147"/>
      <c r="K68" s="147"/>
      <c r="L68" s="147"/>
      <c r="M68" s="147"/>
      <c r="N68" s="147"/>
      <c r="O68" s="147"/>
      <c r="P68" s="147"/>
      <c r="Q68" s="147"/>
      <c r="R68" s="147"/>
      <c r="S68" s="147"/>
      <c r="T68" s="147"/>
      <c r="U68" s="147"/>
      <c r="V68" s="147"/>
      <c r="W68" s="147"/>
      <c r="X68" s="147"/>
      <c r="Y68" s="147"/>
      <c r="Z68" s="147"/>
      <c r="AA68" s="147"/>
      <c r="AB68" s="147"/>
      <c r="AC68" s="147"/>
      <c r="AD68" s="147"/>
      <c r="AE68" s="147"/>
      <c r="AF68" s="147"/>
      <c r="AG68" s="147"/>
      <c r="AH68" s="147"/>
      <c r="AI68" s="147"/>
      <c r="AJ68" s="147"/>
      <c r="AK68" s="147"/>
      <c r="AL68" s="147"/>
      <c r="AM68" s="147"/>
    </row>
    <row r="69" spans="2:39" x14ac:dyDescent="0.2">
      <c r="D69" s="231"/>
      <c r="E69" s="146"/>
      <c r="G69" s="147"/>
      <c r="H69" s="147"/>
      <c r="I69" s="147"/>
      <c r="J69" s="147"/>
      <c r="K69" s="147"/>
      <c r="L69" s="147"/>
      <c r="M69" s="147"/>
      <c r="N69" s="147"/>
      <c r="O69" s="147"/>
      <c r="P69" s="147"/>
      <c r="Q69" s="147"/>
      <c r="R69" s="147"/>
      <c r="S69" s="147"/>
      <c r="T69" s="147"/>
      <c r="U69" s="147"/>
      <c r="V69" s="147"/>
      <c r="W69" s="147"/>
      <c r="X69" s="147"/>
      <c r="Y69" s="147"/>
      <c r="Z69" s="147"/>
      <c r="AA69" s="147"/>
      <c r="AB69" s="147"/>
      <c r="AC69" s="147"/>
      <c r="AD69" s="147"/>
      <c r="AE69" s="147"/>
      <c r="AF69" s="147"/>
      <c r="AG69" s="147"/>
      <c r="AH69" s="147"/>
      <c r="AI69" s="147"/>
      <c r="AJ69" s="147"/>
      <c r="AK69" s="147"/>
      <c r="AL69" s="147"/>
      <c r="AM69" s="147"/>
    </row>
    <row r="70" spans="2:39" x14ac:dyDescent="0.2">
      <c r="B70" s="161" t="s">
        <v>113</v>
      </c>
      <c r="C70" s="161"/>
      <c r="D70" s="478"/>
      <c r="E70" s="162">
        <f>E71+E72</f>
        <v>0</v>
      </c>
      <c r="F70" s="162">
        <f t="shared" ref="F70:AM70" si="29">F71+F72</f>
        <v>0</v>
      </c>
      <c r="G70" s="162">
        <f t="shared" si="29"/>
        <v>-561157.47763317509</v>
      </c>
      <c r="H70" s="162">
        <f t="shared" si="29"/>
        <v>-2467499.3653872702</v>
      </c>
      <c r="I70" s="162">
        <f t="shared" si="29"/>
        <v>-1778321.376206072</v>
      </c>
      <c r="J70" s="162">
        <f t="shared" si="29"/>
        <v>2938736.7479512431</v>
      </c>
      <c r="K70" s="162">
        <f t="shared" si="29"/>
        <v>7577511.3917880878</v>
      </c>
      <c r="L70" s="162">
        <f t="shared" si="29"/>
        <v>12430395.559168532</v>
      </c>
      <c r="M70" s="162">
        <f t="shared" si="29"/>
        <v>14472505.788185216</v>
      </c>
      <c r="N70" s="162">
        <f t="shared" si="29"/>
        <v>14472505.788185216</v>
      </c>
      <c r="O70" s="162">
        <f t="shared" si="29"/>
        <v>16310613.184461225</v>
      </c>
      <c r="P70" s="162">
        <f t="shared" si="29"/>
        <v>16310613.184461225</v>
      </c>
      <c r="Q70" s="162">
        <f t="shared" si="29"/>
        <v>16310613.184461225</v>
      </c>
      <c r="R70" s="162">
        <f t="shared" si="29"/>
        <v>16310613.184461225</v>
      </c>
      <c r="S70" s="162">
        <f t="shared" si="29"/>
        <v>16310613.184461225</v>
      </c>
      <c r="T70" s="162">
        <f t="shared" si="29"/>
        <v>16310613.184461225</v>
      </c>
      <c r="U70" s="162">
        <f t="shared" si="29"/>
        <v>16310613.184461225</v>
      </c>
      <c r="V70" s="162">
        <f t="shared" si="29"/>
        <v>7764569.0502525494</v>
      </c>
      <c r="W70" s="162">
        <f t="shared" si="29"/>
        <v>13754717.904002246</v>
      </c>
      <c r="X70" s="162">
        <f t="shared" si="29"/>
        <v>7764569.0502525494</v>
      </c>
      <c r="Y70" s="162">
        <f t="shared" si="29"/>
        <v>16310613.184461225</v>
      </c>
      <c r="Z70" s="162">
        <f t="shared" si="29"/>
        <v>9602676.4465285577</v>
      </c>
      <c r="AA70" s="162">
        <f t="shared" si="29"/>
        <v>15592825.300278258</v>
      </c>
      <c r="AB70" s="162">
        <f t="shared" si="29"/>
        <v>16310613.184461225</v>
      </c>
      <c r="AC70" s="162">
        <f t="shared" si="29"/>
        <v>15592825.300278258</v>
      </c>
      <c r="AD70" s="162">
        <f t="shared" si="29"/>
        <v>16310613.184461225</v>
      </c>
      <c r="AE70" s="162">
        <f t="shared" si="29"/>
        <v>16310613.184461225</v>
      </c>
      <c r="AF70" s="162">
        <f t="shared" si="29"/>
        <v>14472505.788185216</v>
      </c>
      <c r="AG70" s="162">
        <f t="shared" si="29"/>
        <v>14472505.788185216</v>
      </c>
      <c r="AH70" s="162">
        <f t="shared" si="29"/>
        <v>14472505.788185216</v>
      </c>
      <c r="AI70" s="162">
        <f t="shared" si="29"/>
        <v>16310613.184461225</v>
      </c>
      <c r="AJ70" s="162">
        <f t="shared" si="29"/>
        <v>16310613.184461225</v>
      </c>
      <c r="AK70" s="162">
        <f t="shared" si="29"/>
        <v>16310613.184461225</v>
      </c>
      <c r="AL70" s="162">
        <f t="shared" si="29"/>
        <v>16310613.184461225</v>
      </c>
      <c r="AM70" s="162">
        <f t="shared" si="29"/>
        <v>16310613.184461225</v>
      </c>
    </row>
    <row r="71" spans="2:39" x14ac:dyDescent="0.2">
      <c r="B71" s="144" t="s">
        <v>114</v>
      </c>
      <c r="C71" s="144"/>
      <c r="D71" s="193"/>
      <c r="E71" s="145">
        <f>E10*'Premissas Adotadas'!$K$23</f>
        <v>0</v>
      </c>
      <c r="F71" s="145">
        <f>F10*'Premissas Adotadas'!$K$23</f>
        <v>0</v>
      </c>
      <c r="G71" s="145">
        <f>G10*'Premissas Adotadas'!$K$23</f>
        <v>1027820.5098781633</v>
      </c>
      <c r="H71" s="145">
        <f>H10*'Premissas Adotadas'!$K$23</f>
        <v>4847525.42396673</v>
      </c>
      <c r="I71" s="145">
        <f>I10*'Premissas Adotadas'!$K$23</f>
        <v>9841259.0964331459</v>
      </c>
      <c r="J71" s="145">
        <f>J10*'Premissas Adotadas'!$K$23</f>
        <v>20374549.259562146</v>
      </c>
      <c r="K71" s="145">
        <f>K10*'Premissas Adotadas'!$K$23</f>
        <v>26824186.204481732</v>
      </c>
      <c r="L71" s="145">
        <f>L10*'Premissas Adotadas'!$K$23</f>
        <v>31800140.258104846</v>
      </c>
      <c r="M71" s="145">
        <f>M10*'Premissas Adotadas'!$K$23</f>
        <v>33842250.48712153</v>
      </c>
      <c r="N71" s="145">
        <f>N10*'Premissas Adotadas'!$K$23</f>
        <v>33842250.48712153</v>
      </c>
      <c r="O71" s="145">
        <f>O10*'Premissas Adotadas'!$K$23</f>
        <v>35557287.997154869</v>
      </c>
      <c r="P71" s="145">
        <f>P10*'Premissas Adotadas'!$K$23</f>
        <v>35557287.997154869</v>
      </c>
      <c r="Q71" s="145">
        <f>Q10*'Premissas Adotadas'!$K$23</f>
        <v>35557287.997154869</v>
      </c>
      <c r="R71" s="145">
        <f>R10*'Premissas Adotadas'!$K$23</f>
        <v>35557287.997154869</v>
      </c>
      <c r="S71" s="145">
        <f>S10*'Premissas Adotadas'!$K$23</f>
        <v>35557287.997154869</v>
      </c>
      <c r="T71" s="145">
        <f>T10*'Premissas Adotadas'!$K$23</f>
        <v>35557287.997154869</v>
      </c>
      <c r="U71" s="145">
        <f>U10*'Premissas Adotadas'!$K$23</f>
        <v>35557287.997154869</v>
      </c>
      <c r="V71" s="145">
        <f>V10*'Premissas Adotadas'!$K$23</f>
        <v>27278900.913644198</v>
      </c>
      <c r="W71" s="145">
        <f>W10*'Premissas Adotadas'!$K$23</f>
        <v>33170772.121434331</v>
      </c>
      <c r="X71" s="145">
        <f>X10*'Premissas Adotadas'!$K$23</f>
        <v>27278900.913644198</v>
      </c>
      <c r="Y71" s="145">
        <f>Y10*'Premissas Adotadas'!$K$23</f>
        <v>35557287.997154869</v>
      </c>
      <c r="Z71" s="145">
        <f>Z10*'Premissas Adotadas'!$K$23</f>
        <v>28993938.423677538</v>
      </c>
      <c r="AA71" s="145">
        <f>AA10*'Premissas Adotadas'!$K$23</f>
        <v>34885809.631467678</v>
      </c>
      <c r="AB71" s="145">
        <f>AB10*'Premissas Adotadas'!$K$23</f>
        <v>35557287.997154869</v>
      </c>
      <c r="AC71" s="145">
        <f>AC10*'Premissas Adotadas'!$K$23</f>
        <v>34885809.631467678</v>
      </c>
      <c r="AD71" s="145">
        <f>AD10*'Premissas Adotadas'!$K$23</f>
        <v>35557287.997154869</v>
      </c>
      <c r="AE71" s="145">
        <f>AE10*'Premissas Adotadas'!$K$23</f>
        <v>35557287.997154869</v>
      </c>
      <c r="AF71" s="145">
        <f>AF10*'Premissas Adotadas'!$K$23</f>
        <v>33842250.48712153</v>
      </c>
      <c r="AG71" s="145">
        <f>AG10*'Premissas Adotadas'!$K$23</f>
        <v>33842250.48712153</v>
      </c>
      <c r="AH71" s="145">
        <f>AH10*'Premissas Adotadas'!$K$23</f>
        <v>33842250.48712153</v>
      </c>
      <c r="AI71" s="145">
        <f>AI10*'Premissas Adotadas'!$K$23</f>
        <v>35557287.997154869</v>
      </c>
      <c r="AJ71" s="145">
        <f>AJ10*'Premissas Adotadas'!$K$23</f>
        <v>35557287.997154869</v>
      </c>
      <c r="AK71" s="145">
        <f>AK10*'Premissas Adotadas'!$K$23</f>
        <v>35557287.997154869</v>
      </c>
      <c r="AL71" s="145">
        <f>AL10*'Premissas Adotadas'!$K$23</f>
        <v>35557287.997154869</v>
      </c>
      <c r="AM71" s="145">
        <f>AM10*'Premissas Adotadas'!$K$23</f>
        <v>35557287.997154869</v>
      </c>
    </row>
    <row r="72" spans="2:39" x14ac:dyDescent="0.2">
      <c r="B72" s="163" t="s">
        <v>115</v>
      </c>
      <c r="C72" s="163"/>
      <c r="D72" s="193"/>
      <c r="E72" s="164">
        <f>SUM(E23:E28)*'Premissas Adotadas'!$K$23</f>
        <v>0</v>
      </c>
      <c r="F72" s="164">
        <f>SUM(F23:F28)*'Premissas Adotadas'!$K$23</f>
        <v>0</v>
      </c>
      <c r="G72" s="164">
        <f>SUM(G23:G28)*'Premissas Adotadas'!$K$23</f>
        <v>-1588977.9875113384</v>
      </c>
      <c r="H72" s="164">
        <f>SUM(H23:H28)*'Premissas Adotadas'!$K$23</f>
        <v>-7315024.7893540002</v>
      </c>
      <c r="I72" s="164">
        <f>SUM(I23:I28)*'Premissas Adotadas'!$K$23</f>
        <v>-11619580.472639218</v>
      </c>
      <c r="J72" s="164">
        <f>SUM(J23:J28)*'Premissas Adotadas'!$K$23</f>
        <v>-17435812.511610903</v>
      </c>
      <c r="K72" s="164">
        <f>SUM(K23:K28)*'Premissas Adotadas'!$K$23</f>
        <v>-19246674.812693644</v>
      </c>
      <c r="L72" s="164">
        <f>SUM(L23:L28)*'Premissas Adotadas'!$K$23</f>
        <v>-19369744.698936313</v>
      </c>
      <c r="M72" s="164">
        <f>SUM(M23:M28)*'Premissas Adotadas'!$K$23</f>
        <v>-19369744.698936313</v>
      </c>
      <c r="N72" s="164">
        <f>SUM(N23:N28)*'Premissas Adotadas'!$K$23</f>
        <v>-19369744.698936313</v>
      </c>
      <c r="O72" s="164">
        <f>SUM(O23:O28)*'Premissas Adotadas'!$K$23</f>
        <v>-19246674.812693644</v>
      </c>
      <c r="P72" s="164">
        <f>SUM(P23:P28)*'Premissas Adotadas'!$K$23</f>
        <v>-19246674.812693644</v>
      </c>
      <c r="Q72" s="164">
        <f>SUM(Q23:Q28)*'Premissas Adotadas'!$K$23</f>
        <v>-19246674.812693644</v>
      </c>
      <c r="R72" s="164">
        <f>SUM(R23:R28)*'Premissas Adotadas'!$K$23</f>
        <v>-19246674.812693644</v>
      </c>
      <c r="S72" s="164">
        <f>SUM(S23:S28)*'Premissas Adotadas'!$K$23</f>
        <v>-19246674.812693644</v>
      </c>
      <c r="T72" s="164">
        <f>SUM(T23:T28)*'Premissas Adotadas'!$K$23</f>
        <v>-19246674.812693644</v>
      </c>
      <c r="U72" s="164">
        <f>SUM(U23:U28)*'Premissas Adotadas'!$K$23</f>
        <v>-19246674.812693644</v>
      </c>
      <c r="V72" s="164">
        <f>SUM(V23:V28)*'Premissas Adotadas'!$K$23</f>
        <v>-19514331.863391649</v>
      </c>
      <c r="W72" s="164">
        <f>SUM(W23:W28)*'Premissas Adotadas'!$K$23</f>
        <v>-19416054.217432085</v>
      </c>
      <c r="X72" s="164">
        <f>SUM(X23:X28)*'Premissas Adotadas'!$K$23</f>
        <v>-19514331.863391649</v>
      </c>
      <c r="Y72" s="164">
        <f>SUM(Y23:Y28)*'Premissas Adotadas'!$K$23</f>
        <v>-19246674.812693644</v>
      </c>
      <c r="Z72" s="164">
        <f>SUM(Z23:Z28)*'Premissas Adotadas'!$K$23</f>
        <v>-19391261.97714898</v>
      </c>
      <c r="AA72" s="164">
        <f>SUM(AA23:AA28)*'Premissas Adotadas'!$K$23</f>
        <v>-19292984.33118942</v>
      </c>
      <c r="AB72" s="164">
        <f>SUM(AB23:AB28)*'Premissas Adotadas'!$K$23</f>
        <v>-19246674.812693644</v>
      </c>
      <c r="AC72" s="164">
        <f>SUM(AC23:AC28)*'Premissas Adotadas'!$K$23</f>
        <v>-19292984.33118942</v>
      </c>
      <c r="AD72" s="164">
        <f>SUM(AD23:AD28)*'Premissas Adotadas'!$K$23</f>
        <v>-19246674.812693644</v>
      </c>
      <c r="AE72" s="164">
        <f>SUM(AE23:AE28)*'Premissas Adotadas'!$K$23</f>
        <v>-19246674.812693644</v>
      </c>
      <c r="AF72" s="164">
        <f>SUM(AF23:AF28)*'Premissas Adotadas'!$K$23</f>
        <v>-19369744.698936313</v>
      </c>
      <c r="AG72" s="164">
        <f>SUM(AG23:AG28)*'Premissas Adotadas'!$K$23</f>
        <v>-19369744.698936313</v>
      </c>
      <c r="AH72" s="164">
        <f>SUM(AH23:AH28)*'Premissas Adotadas'!$K$23</f>
        <v>-19369744.698936313</v>
      </c>
      <c r="AI72" s="164">
        <f>SUM(AI23:AI28)*'Premissas Adotadas'!$K$23</f>
        <v>-19246674.812693644</v>
      </c>
      <c r="AJ72" s="164">
        <f>SUM(AJ23:AJ28)*'Premissas Adotadas'!$K$23</f>
        <v>-19246674.812693644</v>
      </c>
      <c r="AK72" s="164">
        <f>SUM(AK23:AK28)*'Premissas Adotadas'!$K$23</f>
        <v>-19246674.812693644</v>
      </c>
      <c r="AL72" s="164">
        <f>SUM(AL23:AL28)*'Premissas Adotadas'!$K$23</f>
        <v>-19246674.812693644</v>
      </c>
      <c r="AM72" s="164">
        <f>SUM(AM23:AM28)*'Premissas Adotadas'!$K$23</f>
        <v>-19246674.812693644</v>
      </c>
    </row>
    <row r="73" spans="2:39" x14ac:dyDescent="0.2">
      <c r="D73" s="479"/>
    </row>
    <row r="74" spans="2:39" x14ac:dyDescent="0.2">
      <c r="B74" s="161" t="s">
        <v>150</v>
      </c>
      <c r="C74" s="161"/>
      <c r="D74" s="478"/>
      <c r="E74" s="165"/>
      <c r="F74" s="165"/>
      <c r="G74" s="165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5"/>
      <c r="S74" s="165"/>
      <c r="T74" s="165"/>
      <c r="U74" s="165"/>
      <c r="V74" s="165"/>
      <c r="W74" s="165"/>
      <c r="X74" s="165"/>
      <c r="Y74" s="165"/>
      <c r="Z74" s="165"/>
      <c r="AA74" s="165"/>
      <c r="AB74" s="165"/>
      <c r="AC74" s="165"/>
      <c r="AD74" s="165"/>
      <c r="AE74" s="165"/>
      <c r="AF74" s="165"/>
      <c r="AG74" s="165"/>
      <c r="AH74" s="165"/>
      <c r="AI74" s="165"/>
      <c r="AJ74" s="165"/>
      <c r="AK74" s="165"/>
      <c r="AL74" s="165"/>
      <c r="AM74" s="165"/>
    </row>
    <row r="75" spans="2:39" x14ac:dyDescent="0.2">
      <c r="B75" s="143" t="s">
        <v>118</v>
      </c>
      <c r="D75" s="181"/>
      <c r="E75" s="146">
        <f t="shared" ref="E75:AM75" si="30">E42</f>
        <v>-16321679.540972497</v>
      </c>
      <c r="F75" s="146">
        <f t="shared" si="30"/>
        <v>-5545014.2965083923</v>
      </c>
      <c r="G75" s="146">
        <f t="shared" si="30"/>
        <v>-16342909.749311384</v>
      </c>
      <c r="H75" s="146">
        <f t="shared" si="30"/>
        <v>-46266995.635681324</v>
      </c>
      <c r="I75" s="146">
        <f t="shared" si="30"/>
        <v>-53488541.99383796</v>
      </c>
      <c r="J75" s="146">
        <f t="shared" si="30"/>
        <v>-22850547.737554219</v>
      </c>
      <c r="K75" s="146">
        <f t="shared" si="30"/>
        <v>9970674.3740761429</v>
      </c>
      <c r="L75" s="146">
        <f t="shared" si="30"/>
        <v>55896839.168531746</v>
      </c>
      <c r="M75" s="146">
        <f t="shared" si="30"/>
        <v>75479020.49975118</v>
      </c>
      <c r="N75" s="146">
        <f t="shared" si="30"/>
        <v>75479020.49975118</v>
      </c>
      <c r="O75" s="146">
        <f t="shared" si="30"/>
        <v>97285233.005708337</v>
      </c>
      <c r="P75" s="146">
        <f t="shared" si="30"/>
        <v>97282063.640806466</v>
      </c>
      <c r="Q75" s="146">
        <f t="shared" si="30"/>
        <v>97285233.005708337</v>
      </c>
      <c r="R75" s="146">
        <f t="shared" si="30"/>
        <v>97285233.005708337</v>
      </c>
      <c r="S75" s="146">
        <f t="shared" si="30"/>
        <v>97285233.005708337</v>
      </c>
      <c r="T75" s="146">
        <f t="shared" si="30"/>
        <v>97285233.005708337</v>
      </c>
      <c r="U75" s="146">
        <f t="shared" si="30"/>
        <v>97285233.005708337</v>
      </c>
      <c r="V75" s="146">
        <f t="shared" si="30"/>
        <v>15270217.439367473</v>
      </c>
      <c r="W75" s="146">
        <f t="shared" si="30"/>
        <v>74743671.472949505</v>
      </c>
      <c r="X75" s="146">
        <f t="shared" si="30"/>
        <v>24511765.593212657</v>
      </c>
      <c r="Y75" s="146">
        <f t="shared" si="30"/>
        <v>111959972.85499461</v>
      </c>
      <c r="Z75" s="146">
        <f t="shared" si="30"/>
        <v>54948197.14277634</v>
      </c>
      <c r="AA75" s="146">
        <f t="shared" si="30"/>
        <v>114698706.60838138</v>
      </c>
      <c r="AB75" s="146">
        <f t="shared" si="30"/>
        <v>121589304.89664654</v>
      </c>
      <c r="AC75" s="146">
        <f t="shared" si="30"/>
        <v>114698706.60838138</v>
      </c>
      <c r="AD75" s="146">
        <f t="shared" si="30"/>
        <v>121592474.26154841</v>
      </c>
      <c r="AE75" s="146">
        <f t="shared" si="30"/>
        <v>124334829.2357206</v>
      </c>
      <c r="AF75" s="146">
        <f t="shared" si="30"/>
        <v>109949482.64008762</v>
      </c>
      <c r="AG75" s="146">
        <f t="shared" si="30"/>
        <v>112111430.95940866</v>
      </c>
      <c r="AH75" s="146">
        <f t="shared" si="30"/>
        <v>114414166.37057684</v>
      </c>
      <c r="AI75" s="146">
        <f t="shared" si="30"/>
        <v>134560712.53615212</v>
      </c>
      <c r="AJ75" s="146">
        <f t="shared" si="30"/>
        <v>134863056.37994844</v>
      </c>
      <c r="AK75" s="146">
        <f t="shared" si="30"/>
        <v>134863056.37994844</v>
      </c>
      <c r="AL75" s="146">
        <f t="shared" si="30"/>
        <v>134863056.37994844</v>
      </c>
      <c r="AM75" s="146">
        <f t="shared" si="30"/>
        <v>134863056.37994844</v>
      </c>
    </row>
    <row r="76" spans="2:39" x14ac:dyDescent="0.2">
      <c r="B76" s="143" t="s">
        <v>122</v>
      </c>
      <c r="D76" s="181"/>
      <c r="E76" s="146">
        <f>IF(E75&lt;0,-E75,0)</f>
        <v>16321679.540972497</v>
      </c>
      <c r="F76" s="146">
        <f t="shared" ref="F76:H76" si="31">E76+IF(F75&lt;0,-F75,0)-E77</f>
        <v>21866693.837480888</v>
      </c>
      <c r="G76" s="146">
        <f t="shared" si="31"/>
        <v>38209603.586792275</v>
      </c>
      <c r="H76" s="146">
        <f t="shared" si="31"/>
        <v>84476599.222473592</v>
      </c>
      <c r="I76" s="146">
        <f>H76+IF(I75&lt;0,-I75,0)-H77</f>
        <v>137965141.21631154</v>
      </c>
      <c r="J76" s="146">
        <f t="shared" ref="J76:AM76" si="32">I76+IF(J75&lt;0,-J75,0)-I77</f>
        <v>160815688.95386577</v>
      </c>
      <c r="K76" s="146">
        <f t="shared" si="32"/>
        <v>160815688.95386577</v>
      </c>
      <c r="L76" s="146">
        <f t="shared" si="32"/>
        <v>157824486.64164293</v>
      </c>
      <c r="M76" s="146">
        <f t="shared" si="32"/>
        <v>141055434.89108342</v>
      </c>
      <c r="N76" s="146">
        <f t="shared" si="32"/>
        <v>118411728.74115807</v>
      </c>
      <c r="O76" s="146">
        <f t="shared" si="32"/>
        <v>95768022.591232717</v>
      </c>
      <c r="P76" s="146">
        <f t="shared" si="32"/>
        <v>66582452.689520217</v>
      </c>
      <c r="Q76" s="146">
        <f t="shared" si="32"/>
        <v>37397833.597278282</v>
      </c>
      <c r="R76" s="146">
        <f t="shared" si="32"/>
        <v>8212263.6955657825</v>
      </c>
      <c r="S76" s="146">
        <f t="shared" si="32"/>
        <v>0</v>
      </c>
      <c r="T76" s="146">
        <f t="shared" si="32"/>
        <v>0</v>
      </c>
      <c r="U76" s="146">
        <f t="shared" si="32"/>
        <v>0</v>
      </c>
      <c r="V76" s="146">
        <f t="shared" si="32"/>
        <v>0</v>
      </c>
      <c r="W76" s="146">
        <f t="shared" si="32"/>
        <v>0</v>
      </c>
      <c r="X76" s="146">
        <f t="shared" si="32"/>
        <v>0</v>
      </c>
      <c r="Y76" s="146">
        <f t="shared" si="32"/>
        <v>0</v>
      </c>
      <c r="Z76" s="146">
        <f t="shared" si="32"/>
        <v>0</v>
      </c>
      <c r="AA76" s="146">
        <f t="shared" si="32"/>
        <v>0</v>
      </c>
      <c r="AB76" s="146">
        <f t="shared" si="32"/>
        <v>0</v>
      </c>
      <c r="AC76" s="146">
        <f t="shared" si="32"/>
        <v>0</v>
      </c>
      <c r="AD76" s="146">
        <f t="shared" si="32"/>
        <v>0</v>
      </c>
      <c r="AE76" s="146">
        <f t="shared" si="32"/>
        <v>0</v>
      </c>
      <c r="AF76" s="146">
        <f t="shared" si="32"/>
        <v>0</v>
      </c>
      <c r="AG76" s="146">
        <f t="shared" si="32"/>
        <v>0</v>
      </c>
      <c r="AH76" s="146">
        <f t="shared" si="32"/>
        <v>0</v>
      </c>
      <c r="AI76" s="146">
        <f t="shared" si="32"/>
        <v>0</v>
      </c>
      <c r="AJ76" s="146">
        <f t="shared" si="32"/>
        <v>0</v>
      </c>
      <c r="AK76" s="146">
        <f t="shared" si="32"/>
        <v>0</v>
      </c>
      <c r="AL76" s="146">
        <f t="shared" si="32"/>
        <v>0</v>
      </c>
      <c r="AM76" s="146">
        <f t="shared" si="32"/>
        <v>0</v>
      </c>
    </row>
    <row r="77" spans="2:39" x14ac:dyDescent="0.2">
      <c r="B77" s="143" t="s">
        <v>123</v>
      </c>
      <c r="D77" s="181"/>
      <c r="E77" s="146">
        <f t="shared" ref="E77:G77" si="33">IF(E75&lt;0,0,IF(E76&lt;=E75*0.3,E76,E75*0.3))</f>
        <v>0</v>
      </c>
      <c r="F77" s="146">
        <f t="shared" si="33"/>
        <v>0</v>
      </c>
      <c r="G77" s="146">
        <f t="shared" si="33"/>
        <v>0</v>
      </c>
      <c r="H77" s="146">
        <f>IF(H75&lt;0,0,IF(H76&lt;=H75*0.3,H76,H75*0.3))</f>
        <v>0</v>
      </c>
      <c r="I77" s="146">
        <f t="shared" ref="I77:AM77" si="34">IF(I75&lt;0,0,IF(I76&lt;=I75*0.3,I76,I75*0.3))</f>
        <v>0</v>
      </c>
      <c r="J77" s="146">
        <f t="shared" si="34"/>
        <v>0</v>
      </c>
      <c r="K77" s="146">
        <f t="shared" si="34"/>
        <v>2991202.3122228426</v>
      </c>
      <c r="L77" s="146">
        <f t="shared" si="34"/>
        <v>16769051.750559524</v>
      </c>
      <c r="M77" s="146">
        <f t="shared" si="34"/>
        <v>22643706.149925355</v>
      </c>
      <c r="N77" s="146">
        <f t="shared" si="34"/>
        <v>22643706.149925355</v>
      </c>
      <c r="O77" s="146">
        <f t="shared" si="34"/>
        <v>29185569.9017125</v>
      </c>
      <c r="P77" s="146">
        <f t="shared" si="34"/>
        <v>29184619.092241939</v>
      </c>
      <c r="Q77" s="146">
        <f t="shared" si="34"/>
        <v>29185569.9017125</v>
      </c>
      <c r="R77" s="146">
        <f t="shared" si="34"/>
        <v>8212263.6955657825</v>
      </c>
      <c r="S77" s="146">
        <f t="shared" si="34"/>
        <v>0</v>
      </c>
      <c r="T77" s="146">
        <f t="shared" si="34"/>
        <v>0</v>
      </c>
      <c r="U77" s="146">
        <f t="shared" si="34"/>
        <v>0</v>
      </c>
      <c r="V77" s="146">
        <f t="shared" si="34"/>
        <v>0</v>
      </c>
      <c r="W77" s="146">
        <f t="shared" si="34"/>
        <v>0</v>
      </c>
      <c r="X77" s="146">
        <f t="shared" si="34"/>
        <v>0</v>
      </c>
      <c r="Y77" s="146">
        <f t="shared" si="34"/>
        <v>0</v>
      </c>
      <c r="Z77" s="146">
        <f t="shared" si="34"/>
        <v>0</v>
      </c>
      <c r="AA77" s="146">
        <f t="shared" si="34"/>
        <v>0</v>
      </c>
      <c r="AB77" s="146">
        <f t="shared" si="34"/>
        <v>0</v>
      </c>
      <c r="AC77" s="146">
        <f t="shared" si="34"/>
        <v>0</v>
      </c>
      <c r="AD77" s="146">
        <f t="shared" si="34"/>
        <v>0</v>
      </c>
      <c r="AE77" s="146">
        <f t="shared" si="34"/>
        <v>0</v>
      </c>
      <c r="AF77" s="146">
        <f t="shared" si="34"/>
        <v>0</v>
      </c>
      <c r="AG77" s="146">
        <f t="shared" si="34"/>
        <v>0</v>
      </c>
      <c r="AH77" s="146">
        <f t="shared" si="34"/>
        <v>0</v>
      </c>
      <c r="AI77" s="146">
        <f t="shared" si="34"/>
        <v>0</v>
      </c>
      <c r="AJ77" s="146">
        <f t="shared" si="34"/>
        <v>0</v>
      </c>
      <c r="AK77" s="146">
        <f t="shared" si="34"/>
        <v>0</v>
      </c>
      <c r="AL77" s="146">
        <f t="shared" si="34"/>
        <v>0</v>
      </c>
      <c r="AM77" s="146">
        <f t="shared" si="34"/>
        <v>0</v>
      </c>
    </row>
    <row r="78" spans="2:39" x14ac:dyDescent="0.2">
      <c r="B78" s="166" t="s">
        <v>121</v>
      </c>
      <c r="C78" s="166"/>
      <c r="D78" s="181"/>
      <c r="E78" s="167">
        <f>IF(E75&lt;=0,0,E75-E77)</f>
        <v>0</v>
      </c>
      <c r="F78" s="167">
        <f t="shared" ref="F78:AM78" si="35">IF(F75&lt;=0,0,F75-F77)</f>
        <v>0</v>
      </c>
      <c r="G78" s="167">
        <f t="shared" si="35"/>
        <v>0</v>
      </c>
      <c r="H78" s="167">
        <f t="shared" si="35"/>
        <v>0</v>
      </c>
      <c r="I78" s="167">
        <f t="shared" si="35"/>
        <v>0</v>
      </c>
      <c r="J78" s="167">
        <f t="shared" si="35"/>
        <v>0</v>
      </c>
      <c r="K78" s="167">
        <f t="shared" si="35"/>
        <v>6979472.0618533008</v>
      </c>
      <c r="L78" s="167">
        <f t="shared" si="35"/>
        <v>39127787.417972222</v>
      </c>
      <c r="M78" s="167">
        <f t="shared" si="35"/>
        <v>52835314.349825829</v>
      </c>
      <c r="N78" s="167">
        <f t="shared" si="35"/>
        <v>52835314.349825829</v>
      </c>
      <c r="O78" s="167">
        <f t="shared" si="35"/>
        <v>68099663.10399583</v>
      </c>
      <c r="P78" s="167">
        <f t="shared" si="35"/>
        <v>68097444.548564523</v>
      </c>
      <c r="Q78" s="167">
        <f t="shared" si="35"/>
        <v>68099663.10399583</v>
      </c>
      <c r="R78" s="167">
        <f t="shared" si="35"/>
        <v>89072969.310142547</v>
      </c>
      <c r="S78" s="167">
        <f t="shared" si="35"/>
        <v>97285233.005708337</v>
      </c>
      <c r="T78" s="167">
        <f t="shared" si="35"/>
        <v>97285233.005708337</v>
      </c>
      <c r="U78" s="167">
        <f t="shared" si="35"/>
        <v>97285233.005708337</v>
      </c>
      <c r="V78" s="167">
        <f t="shared" si="35"/>
        <v>15270217.439367473</v>
      </c>
      <c r="W78" s="167">
        <f t="shared" si="35"/>
        <v>74743671.472949505</v>
      </c>
      <c r="X78" s="167">
        <f t="shared" si="35"/>
        <v>24511765.593212657</v>
      </c>
      <c r="Y78" s="167">
        <f t="shared" si="35"/>
        <v>111959972.85499461</v>
      </c>
      <c r="Z78" s="167">
        <f t="shared" si="35"/>
        <v>54948197.14277634</v>
      </c>
      <c r="AA78" s="167">
        <f t="shared" si="35"/>
        <v>114698706.60838138</v>
      </c>
      <c r="AB78" s="167">
        <f t="shared" si="35"/>
        <v>121589304.89664654</v>
      </c>
      <c r="AC78" s="167">
        <f t="shared" si="35"/>
        <v>114698706.60838138</v>
      </c>
      <c r="AD78" s="167">
        <f t="shared" si="35"/>
        <v>121592474.26154841</v>
      </c>
      <c r="AE78" s="167">
        <f t="shared" si="35"/>
        <v>124334829.2357206</v>
      </c>
      <c r="AF78" s="167">
        <f t="shared" si="35"/>
        <v>109949482.64008762</v>
      </c>
      <c r="AG78" s="167">
        <f t="shared" si="35"/>
        <v>112111430.95940866</v>
      </c>
      <c r="AH78" s="167">
        <f t="shared" si="35"/>
        <v>114414166.37057684</v>
      </c>
      <c r="AI78" s="167">
        <f t="shared" si="35"/>
        <v>134560712.53615212</v>
      </c>
      <c r="AJ78" s="167">
        <f t="shared" si="35"/>
        <v>134863056.37994844</v>
      </c>
      <c r="AK78" s="167">
        <f t="shared" si="35"/>
        <v>134863056.37994844</v>
      </c>
      <c r="AL78" s="167">
        <f t="shared" si="35"/>
        <v>134863056.37994844</v>
      </c>
      <c r="AM78" s="167">
        <f t="shared" si="35"/>
        <v>134863056.37994844</v>
      </c>
    </row>
    <row r="82" spans="3:40" x14ac:dyDescent="0.2">
      <c r="E82" s="201"/>
    </row>
    <row r="83" spans="3:40" x14ac:dyDescent="0.2">
      <c r="E83" s="201"/>
    </row>
    <row r="85" spans="3:40" x14ac:dyDescent="0.2">
      <c r="C85" s="771"/>
      <c r="D85" s="771"/>
      <c r="E85" s="772">
        <f t="shared" ref="E85:AM85" si="36">E59</f>
        <v>-84880553.895277083</v>
      </c>
      <c r="F85" s="772">
        <f t="shared" si="36"/>
        <v>-84533119.580440611</v>
      </c>
      <c r="G85" s="772">
        <f t="shared" si="36"/>
        <v>-97599024.801810652</v>
      </c>
      <c r="H85" s="772">
        <f t="shared" si="36"/>
        <v>-213793728.32678929</v>
      </c>
      <c r="I85" s="772">
        <f t="shared" si="36"/>
        <v>-192682606.68481705</v>
      </c>
      <c r="J85" s="772">
        <f t="shared" si="36"/>
        <v>-144896564.96881732</v>
      </c>
      <c r="K85" s="772">
        <f t="shared" si="36"/>
        <v>-10954419.430369571</v>
      </c>
      <c r="L85" s="772">
        <f t="shared" si="36"/>
        <v>65102981.805167757</v>
      </c>
      <c r="M85" s="772">
        <f t="shared" si="36"/>
        <v>88923049.21334824</v>
      </c>
      <c r="N85" s="772">
        <f t="shared" si="36"/>
        <v>95116836.99505049</v>
      </c>
      <c r="O85" s="772">
        <f>O59</f>
        <v>106531405.50376801</v>
      </c>
      <c r="P85" s="772">
        <f t="shared" si="36"/>
        <v>111730755.86853462</v>
      </c>
      <c r="Q85" s="772">
        <f t="shared" si="36"/>
        <v>111733170.92458986</v>
      </c>
      <c r="R85" s="772">
        <f t="shared" si="36"/>
        <v>104602246.81449997</v>
      </c>
      <c r="S85" s="772">
        <f t="shared" si="36"/>
        <v>101810077.15800761</v>
      </c>
      <c r="T85" s="772">
        <f t="shared" si="36"/>
        <v>101810077.15800761</v>
      </c>
      <c r="U85" s="772">
        <f t="shared" si="36"/>
        <v>101810077.15800761</v>
      </c>
      <c r="V85" s="772">
        <f t="shared" si="36"/>
        <v>72788788.368744493</v>
      </c>
      <c r="W85" s="772">
        <f t="shared" si="36"/>
        <v>67055635.420417696</v>
      </c>
      <c r="X85" s="772">
        <f t="shared" si="36"/>
        <v>62411449.876420856</v>
      </c>
      <c r="Y85" s="772">
        <f t="shared" si="36"/>
        <v>71712044.124728411</v>
      </c>
      <c r="Z85" s="772">
        <f t="shared" si="36"/>
        <v>71754244.219622687</v>
      </c>
      <c r="AA85" s="772">
        <f t="shared" si="36"/>
        <v>71125488.480328009</v>
      </c>
      <c r="AB85" s="772">
        <f t="shared" si="36"/>
        <v>91506907.286090434</v>
      </c>
      <c r="AC85" s="772">
        <f t="shared" si="36"/>
        <v>91032344.544028029</v>
      </c>
      <c r="AD85" s="772">
        <f t="shared" si="36"/>
        <v>91508999.066925675</v>
      </c>
      <c r="AE85" s="772">
        <f t="shared" si="36"/>
        <v>92613214.439803436</v>
      </c>
      <c r="AF85" s="772">
        <f t="shared" si="36"/>
        <v>85051432.697183341</v>
      </c>
      <c r="AG85" s="772">
        <f t="shared" si="36"/>
        <v>79114604.847792342</v>
      </c>
      <c r="AH85" s="772">
        <f t="shared" si="36"/>
        <v>78328505.443093255</v>
      </c>
      <c r="AI85" s="772">
        <f t="shared" si="36"/>
        <v>83934648.696834862</v>
      </c>
      <c r="AJ85" s="772">
        <f t="shared" si="36"/>
        <v>89033617.210765973</v>
      </c>
      <c r="AK85" s="772">
        <f t="shared" si="36"/>
        <v>89033617.210765973</v>
      </c>
      <c r="AL85" s="772">
        <f t="shared" si="36"/>
        <v>89033617.210765973</v>
      </c>
      <c r="AM85" s="772">
        <f t="shared" si="36"/>
        <v>89033617.210765973</v>
      </c>
      <c r="AN85" s="772">
        <f>AM59/C62</f>
        <v>1064086859.2120564</v>
      </c>
    </row>
    <row r="86" spans="3:40" x14ac:dyDescent="0.2">
      <c r="C86" s="771"/>
      <c r="D86" s="771"/>
      <c r="E86" s="772">
        <f>E85</f>
        <v>-84880553.895277083</v>
      </c>
      <c r="F86" s="772">
        <f t="shared" ref="F86:AM86" si="37">F85</f>
        <v>-84533119.580440611</v>
      </c>
      <c r="G86" s="772">
        <f t="shared" si="37"/>
        <v>-97599024.801810652</v>
      </c>
      <c r="H86" s="772">
        <f t="shared" si="37"/>
        <v>-213793728.32678929</v>
      </c>
      <c r="I86" s="772">
        <f t="shared" si="37"/>
        <v>-192682606.68481705</v>
      </c>
      <c r="J86" s="772">
        <f t="shared" si="37"/>
        <v>-144896564.96881732</v>
      </c>
      <c r="K86" s="772">
        <f t="shared" si="37"/>
        <v>-10954419.430369571</v>
      </c>
      <c r="L86" s="772">
        <f t="shared" si="37"/>
        <v>65102981.805167757</v>
      </c>
      <c r="M86" s="772">
        <f t="shared" si="37"/>
        <v>88923049.21334824</v>
      </c>
      <c r="N86" s="772">
        <f t="shared" si="37"/>
        <v>95116836.99505049</v>
      </c>
      <c r="O86" s="772">
        <f t="shared" si="37"/>
        <v>106531405.50376801</v>
      </c>
      <c r="P86" s="772">
        <f t="shared" si="37"/>
        <v>111730755.86853462</v>
      </c>
      <c r="Q86" s="772">
        <f t="shared" si="37"/>
        <v>111733170.92458986</v>
      </c>
      <c r="R86" s="772">
        <f t="shared" si="37"/>
        <v>104602246.81449997</v>
      </c>
      <c r="S86" s="772">
        <f t="shared" si="37"/>
        <v>101810077.15800761</v>
      </c>
      <c r="T86" s="772">
        <f t="shared" si="37"/>
        <v>101810077.15800761</v>
      </c>
      <c r="U86" s="772">
        <f t="shared" si="37"/>
        <v>101810077.15800761</v>
      </c>
      <c r="V86" s="772">
        <f t="shared" si="37"/>
        <v>72788788.368744493</v>
      </c>
      <c r="W86" s="772">
        <f t="shared" si="37"/>
        <v>67055635.420417696</v>
      </c>
      <c r="X86" s="772">
        <f t="shared" si="37"/>
        <v>62411449.876420856</v>
      </c>
      <c r="Y86" s="772">
        <f t="shared" si="37"/>
        <v>71712044.124728411</v>
      </c>
      <c r="Z86" s="772">
        <f t="shared" si="37"/>
        <v>71754244.219622687</v>
      </c>
      <c r="AA86" s="772">
        <f t="shared" si="37"/>
        <v>71125488.480328009</v>
      </c>
      <c r="AB86" s="772">
        <f t="shared" si="37"/>
        <v>91506907.286090434</v>
      </c>
      <c r="AC86" s="772">
        <f t="shared" si="37"/>
        <v>91032344.544028029</v>
      </c>
      <c r="AD86" s="772">
        <f t="shared" si="37"/>
        <v>91508999.066925675</v>
      </c>
      <c r="AE86" s="772">
        <f t="shared" si="37"/>
        <v>92613214.439803436</v>
      </c>
      <c r="AF86" s="772">
        <f t="shared" si="37"/>
        <v>85051432.697183341</v>
      </c>
      <c r="AG86" s="772">
        <f t="shared" si="37"/>
        <v>79114604.847792342</v>
      </c>
      <c r="AH86" s="772">
        <f t="shared" si="37"/>
        <v>78328505.443093255</v>
      </c>
      <c r="AI86" s="772">
        <f t="shared" si="37"/>
        <v>83934648.696834862</v>
      </c>
      <c r="AJ86" s="772">
        <f t="shared" si="37"/>
        <v>89033617.210765973</v>
      </c>
      <c r="AK86" s="772">
        <f t="shared" si="37"/>
        <v>89033617.210765973</v>
      </c>
      <c r="AL86" s="772">
        <f t="shared" si="37"/>
        <v>89033617.210765973</v>
      </c>
      <c r="AM86" s="772">
        <f t="shared" si="37"/>
        <v>89033617.210765973</v>
      </c>
      <c r="AN86" s="772">
        <f>'Cronograma IUC'!C60*'Premissas Adotadas'!$L$12</f>
        <v>199472254.48536354</v>
      </c>
    </row>
    <row r="87" spans="3:40" x14ac:dyDescent="0.2">
      <c r="C87" s="771"/>
      <c r="D87" s="771"/>
      <c r="E87" s="772"/>
      <c r="F87" s="772"/>
      <c r="G87" s="771"/>
      <c r="H87" s="771"/>
      <c r="I87" s="771"/>
      <c r="J87" s="771"/>
      <c r="K87" s="771"/>
      <c r="L87" s="771"/>
      <c r="M87" s="771"/>
      <c r="N87" s="771"/>
      <c r="O87" s="771"/>
      <c r="P87" s="771"/>
      <c r="Q87" s="771"/>
      <c r="R87" s="771"/>
      <c r="S87" s="771"/>
      <c r="T87" s="771"/>
      <c r="U87" s="771"/>
      <c r="V87" s="771"/>
      <c r="W87" s="771"/>
      <c r="X87" s="771"/>
      <c r="Y87" s="771"/>
      <c r="Z87" s="771"/>
      <c r="AA87" s="771"/>
      <c r="AB87" s="771"/>
      <c r="AC87" s="771"/>
      <c r="AD87" s="771"/>
      <c r="AE87" s="771"/>
      <c r="AF87" s="771"/>
      <c r="AG87" s="771"/>
      <c r="AH87" s="771"/>
      <c r="AI87" s="771"/>
      <c r="AJ87" s="771"/>
      <c r="AK87" s="771"/>
      <c r="AL87" s="771"/>
      <c r="AM87" s="771"/>
      <c r="AN87" s="771"/>
    </row>
    <row r="88" spans="3:40" x14ac:dyDescent="0.2">
      <c r="C88" s="771"/>
      <c r="D88" s="771"/>
      <c r="E88" s="771"/>
      <c r="F88" s="771"/>
      <c r="G88" s="771"/>
      <c r="H88" s="771"/>
      <c r="I88" s="771"/>
      <c r="J88" s="771"/>
      <c r="K88" s="771"/>
      <c r="L88" s="771"/>
      <c r="M88" s="771"/>
      <c r="N88" s="771"/>
      <c r="O88" s="771"/>
      <c r="P88" s="771"/>
      <c r="Q88" s="771"/>
      <c r="R88" s="771"/>
      <c r="S88" s="771"/>
      <c r="T88" s="771"/>
      <c r="U88" s="771"/>
      <c r="V88" s="771"/>
      <c r="W88" s="771"/>
      <c r="X88" s="771"/>
      <c r="Y88" s="771"/>
      <c r="Z88" s="771"/>
      <c r="AA88" s="771"/>
      <c r="AB88" s="771"/>
      <c r="AC88" s="771"/>
      <c r="AD88" s="771"/>
      <c r="AE88" s="771"/>
      <c r="AF88" s="771"/>
      <c r="AG88" s="771"/>
      <c r="AH88" s="771"/>
      <c r="AI88" s="771"/>
      <c r="AJ88" s="771"/>
      <c r="AK88" s="771"/>
      <c r="AL88" s="771"/>
      <c r="AM88" s="771"/>
      <c r="AN88" s="771"/>
    </row>
    <row r="89" spans="3:40" x14ac:dyDescent="0.2">
      <c r="C89" s="771"/>
      <c r="D89" s="771"/>
      <c r="E89" s="771"/>
      <c r="F89" s="771"/>
      <c r="G89" s="771"/>
      <c r="H89" s="771"/>
      <c r="I89" s="771"/>
      <c r="J89" s="771"/>
      <c r="K89" s="771"/>
      <c r="L89" s="771"/>
      <c r="M89" s="771"/>
      <c r="N89" s="771"/>
      <c r="O89" s="771"/>
      <c r="P89" s="771"/>
      <c r="Q89" s="771"/>
      <c r="R89" s="771"/>
      <c r="S89" s="771"/>
      <c r="T89" s="771"/>
      <c r="U89" s="771"/>
      <c r="V89" s="771"/>
      <c r="W89" s="771"/>
      <c r="X89" s="771"/>
      <c r="Y89" s="771"/>
      <c r="Z89" s="771"/>
      <c r="AA89" s="771"/>
      <c r="AB89" s="771"/>
      <c r="AC89" s="771"/>
      <c r="AD89" s="771"/>
      <c r="AE89" s="771"/>
      <c r="AF89" s="771"/>
      <c r="AG89" s="771"/>
      <c r="AH89" s="771"/>
      <c r="AI89" s="771"/>
      <c r="AJ89" s="771"/>
      <c r="AK89" s="771"/>
      <c r="AL89" s="771"/>
      <c r="AM89" s="771"/>
      <c r="AN89" s="771"/>
    </row>
    <row r="90" spans="3:40" x14ac:dyDescent="0.2">
      <c r="C90" s="771"/>
      <c r="D90" s="771"/>
      <c r="E90" s="771">
        <v>1</v>
      </c>
      <c r="F90" s="771">
        <v>2</v>
      </c>
      <c r="G90" s="771">
        <v>3</v>
      </c>
      <c r="H90" s="771">
        <v>4</v>
      </c>
      <c r="I90" s="771">
        <v>5</v>
      </c>
      <c r="J90" s="771">
        <v>6</v>
      </c>
      <c r="K90" s="771">
        <v>7</v>
      </c>
      <c r="L90" s="771">
        <v>8</v>
      </c>
      <c r="M90" s="771">
        <v>9</v>
      </c>
      <c r="N90" s="771">
        <v>10</v>
      </c>
      <c r="O90" s="771"/>
      <c r="P90" s="771"/>
      <c r="Q90" s="771"/>
      <c r="R90" s="771"/>
      <c r="S90" s="771"/>
      <c r="T90" s="771"/>
      <c r="U90" s="771"/>
      <c r="V90" s="771"/>
      <c r="W90" s="771"/>
      <c r="X90" s="771"/>
      <c r="Y90" s="771"/>
      <c r="Z90" s="771"/>
      <c r="AA90" s="771"/>
      <c r="AB90" s="771"/>
      <c r="AC90" s="771"/>
      <c r="AD90" s="771"/>
      <c r="AE90" s="771"/>
      <c r="AF90" s="771"/>
      <c r="AG90" s="771"/>
      <c r="AH90" s="771"/>
      <c r="AI90" s="771"/>
      <c r="AJ90" s="771"/>
      <c r="AK90" s="771"/>
      <c r="AL90" s="771"/>
      <c r="AM90" s="771"/>
      <c r="AN90" s="771"/>
    </row>
    <row r="91" spans="3:40" x14ac:dyDescent="0.2">
      <c r="C91" s="771" t="s">
        <v>57</v>
      </c>
      <c r="D91" s="771" t="str">
        <f>B57</f>
        <v>Obras de Infraestrutura de uso comum</v>
      </c>
      <c r="E91" s="772">
        <f t="shared" ref="E91:N91" si="38">-E57</f>
        <v>68558874.354304582</v>
      </c>
      <c r="F91" s="772">
        <f t="shared" si="38"/>
        <v>81730460.258104399</v>
      </c>
      <c r="G91" s="772">
        <f t="shared" si="38"/>
        <v>54048707.983025655</v>
      </c>
      <c r="H91" s="772">
        <f t="shared" si="38"/>
        <v>57647619.40175245</v>
      </c>
      <c r="I91" s="772">
        <f t="shared" si="38"/>
        <v>62220294.867905438</v>
      </c>
      <c r="J91" s="772">
        <f t="shared" si="38"/>
        <v>7558596.0949078659</v>
      </c>
      <c r="K91" s="772">
        <f t="shared" si="38"/>
        <v>0</v>
      </c>
      <c r="L91" s="772">
        <f t="shared" si="38"/>
        <v>0</v>
      </c>
      <c r="M91" s="772">
        <f t="shared" si="38"/>
        <v>0</v>
      </c>
      <c r="N91" s="772">
        <f t="shared" si="38"/>
        <v>0</v>
      </c>
      <c r="O91" s="772"/>
      <c r="P91" s="772"/>
      <c r="Q91" s="772"/>
      <c r="R91" s="772"/>
      <c r="S91" s="772"/>
      <c r="T91" s="771"/>
      <c r="U91" s="771"/>
      <c r="V91" s="771"/>
      <c r="W91" s="771"/>
      <c r="X91" s="771"/>
      <c r="Y91" s="771"/>
      <c r="Z91" s="771"/>
      <c r="AA91" s="771"/>
      <c r="AB91" s="771"/>
      <c r="AC91" s="771"/>
      <c r="AD91" s="771"/>
      <c r="AE91" s="771"/>
      <c r="AF91" s="771"/>
      <c r="AG91" s="771"/>
      <c r="AH91" s="771"/>
      <c r="AI91" s="771"/>
      <c r="AJ91" s="771"/>
      <c r="AK91" s="771"/>
      <c r="AL91" s="771"/>
      <c r="AM91" s="771"/>
      <c r="AN91" s="771"/>
    </row>
    <row r="92" spans="3:40" x14ac:dyDescent="0.2">
      <c r="C92" s="771" t="s">
        <v>24</v>
      </c>
      <c r="D92" s="771" t="str">
        <f>B58</f>
        <v>Investimento e Infraestrutura On-Farm</v>
      </c>
      <c r="E92" s="772">
        <f t="shared" ref="E92:N92" si="39">-E58</f>
        <v>0</v>
      </c>
      <c r="F92" s="772">
        <f t="shared" si="39"/>
        <v>0</v>
      </c>
      <c r="G92" s="772">
        <f t="shared" si="39"/>
        <v>30101566.895480655</v>
      </c>
      <c r="H92" s="772">
        <f t="shared" si="39"/>
        <v>108474114.93866906</v>
      </c>
      <c r="I92" s="772">
        <f t="shared" si="39"/>
        <v>81545415.905144438</v>
      </c>
      <c r="J92" s="772">
        <f t="shared" si="39"/>
        <v>110182582.24895306</v>
      </c>
      <c r="K92" s="772">
        <f t="shared" si="39"/>
        <v>34304938.849354073</v>
      </c>
      <c r="L92" s="772">
        <f t="shared" si="39"/>
        <v>0</v>
      </c>
      <c r="M92" s="772">
        <f t="shared" si="39"/>
        <v>0</v>
      </c>
      <c r="N92" s="772">
        <f t="shared" si="39"/>
        <v>0</v>
      </c>
      <c r="O92" s="772"/>
      <c r="P92" s="772"/>
      <c r="Q92" s="772"/>
      <c r="R92" s="772"/>
      <c r="S92" s="772"/>
      <c r="T92" s="771"/>
      <c r="U92" s="771"/>
      <c r="V92" s="771"/>
      <c r="W92" s="771"/>
      <c r="X92" s="771"/>
      <c r="Y92" s="771"/>
      <c r="Z92" s="771"/>
      <c r="AA92" s="771"/>
      <c r="AB92" s="771"/>
      <c r="AC92" s="771"/>
      <c r="AD92" s="771"/>
      <c r="AE92" s="771"/>
      <c r="AF92" s="771"/>
      <c r="AG92" s="771"/>
      <c r="AH92" s="771"/>
      <c r="AI92" s="771"/>
      <c r="AJ92" s="771"/>
      <c r="AK92" s="771"/>
      <c r="AL92" s="771"/>
      <c r="AM92" s="771"/>
      <c r="AN92" s="771"/>
    </row>
    <row r="93" spans="3:40" x14ac:dyDescent="0.2">
      <c r="C93" s="771" t="s">
        <v>154</v>
      </c>
      <c r="D93" s="771" t="s">
        <v>154</v>
      </c>
      <c r="E93" s="772">
        <f t="shared" ref="E93:N93" si="40">SUM(E91:E92)</f>
        <v>68558874.354304582</v>
      </c>
      <c r="F93" s="772">
        <f t="shared" si="40"/>
        <v>81730460.258104399</v>
      </c>
      <c r="G93" s="772">
        <f t="shared" si="40"/>
        <v>84150274.878506303</v>
      </c>
      <c r="H93" s="772">
        <f t="shared" si="40"/>
        <v>166121734.3404215</v>
      </c>
      <c r="I93" s="772">
        <f t="shared" si="40"/>
        <v>143765710.77304989</v>
      </c>
      <c r="J93" s="772">
        <f t="shared" si="40"/>
        <v>117741178.34386092</v>
      </c>
      <c r="K93" s="772">
        <f t="shared" si="40"/>
        <v>34304938.849354073</v>
      </c>
      <c r="L93" s="772">
        <f t="shared" si="40"/>
        <v>0</v>
      </c>
      <c r="M93" s="772">
        <f t="shared" si="40"/>
        <v>0</v>
      </c>
      <c r="N93" s="772">
        <f t="shared" si="40"/>
        <v>0</v>
      </c>
      <c r="O93" s="771"/>
      <c r="P93" s="771"/>
      <c r="Q93" s="771"/>
      <c r="R93" s="771"/>
      <c r="S93" s="771"/>
      <c r="T93" s="771"/>
      <c r="U93" s="771"/>
      <c r="V93" s="771"/>
      <c r="W93" s="771"/>
      <c r="X93" s="771"/>
      <c r="Y93" s="771"/>
      <c r="Z93" s="771"/>
      <c r="AA93" s="771"/>
      <c r="AB93" s="771"/>
      <c r="AC93" s="771"/>
      <c r="AD93" s="771"/>
      <c r="AE93" s="771"/>
      <c r="AF93" s="771"/>
      <c r="AG93" s="771"/>
      <c r="AH93" s="771"/>
      <c r="AI93" s="771"/>
      <c r="AJ93" s="771"/>
      <c r="AK93" s="771"/>
      <c r="AL93" s="771"/>
      <c r="AM93" s="771"/>
      <c r="AN93" s="771"/>
    </row>
    <row r="94" spans="3:40" x14ac:dyDescent="0.2">
      <c r="C94" s="771" t="s">
        <v>128</v>
      </c>
      <c r="D94" s="771" t="s">
        <v>128</v>
      </c>
      <c r="E94" s="772">
        <f>E52</f>
        <v>-16321679.540972497</v>
      </c>
      <c r="F94" s="772">
        <f t="shared" ref="F94:AM94" si="41">F52</f>
        <v>-2802659.322336209</v>
      </c>
      <c r="G94" s="772">
        <f t="shared" si="41"/>
        <v>-13448749.923304349</v>
      </c>
      <c r="H94" s="772">
        <f t="shared" si="41"/>
        <v>-47671993.986367792</v>
      </c>
      <c r="I94" s="772">
        <f t="shared" si="41"/>
        <v>-48916895.911767162</v>
      </c>
      <c r="J94" s="772">
        <f t="shared" si="41"/>
        <v>-27155386.624956407</v>
      </c>
      <c r="K94" s="772">
        <f t="shared" si="41"/>
        <v>23350519.418984503</v>
      </c>
      <c r="L94" s="772">
        <f t="shared" si="41"/>
        <v>65102981.805167757</v>
      </c>
      <c r="M94" s="772">
        <f t="shared" si="41"/>
        <v>88923049.21334824</v>
      </c>
      <c r="N94" s="772">
        <f t="shared" si="41"/>
        <v>95116836.99505049</v>
      </c>
      <c r="O94" s="772">
        <f t="shared" si="41"/>
        <v>106531405.50376801</v>
      </c>
      <c r="P94" s="772">
        <f t="shared" si="41"/>
        <v>111730755.86853462</v>
      </c>
      <c r="Q94" s="772">
        <f t="shared" si="41"/>
        <v>111733170.92458986</v>
      </c>
      <c r="R94" s="772">
        <f t="shared" si="41"/>
        <v>104602246.81449997</v>
      </c>
      <c r="S94" s="772">
        <f t="shared" si="41"/>
        <v>101810077.15800761</v>
      </c>
      <c r="T94" s="772">
        <f t="shared" si="41"/>
        <v>101810077.15800761</v>
      </c>
      <c r="U94" s="772">
        <f t="shared" si="41"/>
        <v>101810077.15800761</v>
      </c>
      <c r="V94" s="772">
        <f t="shared" si="41"/>
        <v>72788788.368744493</v>
      </c>
      <c r="W94" s="772">
        <f t="shared" si="41"/>
        <v>67055635.420417696</v>
      </c>
      <c r="X94" s="772">
        <f t="shared" si="41"/>
        <v>62411449.876420856</v>
      </c>
      <c r="Y94" s="772">
        <f t="shared" si="41"/>
        <v>71712044.124728411</v>
      </c>
      <c r="Z94" s="772">
        <f t="shared" si="41"/>
        <v>71754244.219622687</v>
      </c>
      <c r="AA94" s="772">
        <f t="shared" si="41"/>
        <v>71125488.480328009</v>
      </c>
      <c r="AB94" s="772">
        <f t="shared" si="41"/>
        <v>91506907.286090434</v>
      </c>
      <c r="AC94" s="772">
        <f t="shared" si="41"/>
        <v>91032344.544028029</v>
      </c>
      <c r="AD94" s="772">
        <f t="shared" si="41"/>
        <v>91508999.066925675</v>
      </c>
      <c r="AE94" s="772">
        <f t="shared" si="41"/>
        <v>92613214.439803436</v>
      </c>
      <c r="AF94" s="772">
        <f t="shared" si="41"/>
        <v>85051432.697183341</v>
      </c>
      <c r="AG94" s="772">
        <f t="shared" si="41"/>
        <v>79114604.847792342</v>
      </c>
      <c r="AH94" s="772">
        <f t="shared" si="41"/>
        <v>78328505.443093255</v>
      </c>
      <c r="AI94" s="772">
        <f t="shared" si="41"/>
        <v>83934648.696834862</v>
      </c>
      <c r="AJ94" s="772">
        <f t="shared" si="41"/>
        <v>89033617.210765973</v>
      </c>
      <c r="AK94" s="772">
        <f t="shared" si="41"/>
        <v>89033617.210765973</v>
      </c>
      <c r="AL94" s="772">
        <f t="shared" si="41"/>
        <v>89033617.210765973</v>
      </c>
      <c r="AM94" s="772">
        <f t="shared" si="41"/>
        <v>89033617.210765973</v>
      </c>
      <c r="AN94" s="772"/>
    </row>
    <row r="118" spans="6:6" x14ac:dyDescent="0.2">
      <c r="F118" s="261"/>
    </row>
    <row r="119" spans="6:6" x14ac:dyDescent="0.2">
      <c r="F119" s="261"/>
    </row>
    <row r="120" spans="6:6" x14ac:dyDescent="0.2">
      <c r="F120" s="261"/>
    </row>
  </sheetData>
  <conditionalFormatting sqref="F1:F8">
    <cfRule type="cellIs" dxfId="3" priority="1" operator="less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ignoredErrors>
    <ignoredError sqref="C26 C28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P120"/>
  <sheetViews>
    <sheetView showGridLines="0" topLeftCell="A4" workbookViewId="0">
      <pane xSplit="2" ySplit="6" topLeftCell="C59" activePane="bottomRight" state="frozen"/>
      <selection activeCell="D21" sqref="D21"/>
      <selection pane="topRight" activeCell="D21" sqref="D21"/>
      <selection pane="bottomLeft" activeCell="D21" sqref="D21"/>
      <selection pane="bottomRight" activeCell="C75" sqref="C75"/>
    </sheetView>
  </sheetViews>
  <sheetFormatPr defaultRowHeight="12.75" x14ac:dyDescent="0.2"/>
  <cols>
    <col min="1" max="1" width="1.42578125" style="231" customWidth="1"/>
    <col min="2" max="2" width="37.85546875" style="143" customWidth="1"/>
    <col min="3" max="3" width="18.42578125" style="143" bestFit="1" customWidth="1"/>
    <col min="4" max="4" width="1.7109375" style="143" customWidth="1"/>
    <col min="5" max="39" width="17" style="143" customWidth="1"/>
    <col min="40" max="40" width="16" style="143" bestFit="1" customWidth="1"/>
    <col min="41" max="16384" width="9.140625" style="143"/>
  </cols>
  <sheetData>
    <row r="1" spans="2:42" ht="7.5" customHeight="1" x14ac:dyDescent="0.2">
      <c r="B1" s="153"/>
      <c r="C1" s="153"/>
      <c r="D1" s="153"/>
      <c r="E1" s="154"/>
      <c r="F1" s="155"/>
      <c r="G1" s="174"/>
      <c r="H1" s="155"/>
      <c r="I1" s="154"/>
      <c r="J1" s="155"/>
      <c r="K1" s="156"/>
      <c r="L1" s="154"/>
      <c r="M1" s="153"/>
      <c r="N1" s="154"/>
      <c r="O1" s="155"/>
      <c r="P1" s="156"/>
      <c r="Q1" s="155"/>
      <c r="R1" s="154"/>
      <c r="S1" s="155"/>
      <c r="T1" s="156"/>
      <c r="U1" s="155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</row>
    <row r="2" spans="2:42" ht="12.75" customHeight="1" x14ac:dyDescent="0.2">
      <c r="B2" s="153"/>
      <c r="C2" s="153"/>
      <c r="D2" s="153"/>
      <c r="E2" s="154"/>
      <c r="F2" s="155"/>
      <c r="G2" s="156"/>
      <c r="H2" s="155"/>
      <c r="I2" s="154"/>
      <c r="J2" s="155"/>
      <c r="K2" s="156"/>
      <c r="L2" s="154"/>
      <c r="M2" s="153"/>
      <c r="N2" s="154"/>
      <c r="O2" s="155"/>
      <c r="P2" s="156"/>
      <c r="Q2" s="155"/>
      <c r="R2" s="154"/>
      <c r="S2" s="155"/>
      <c r="T2" s="156"/>
      <c r="U2" s="155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</row>
    <row r="3" spans="2:42" x14ac:dyDescent="0.2">
      <c r="B3" s="153"/>
      <c r="C3" s="153"/>
      <c r="D3" s="153"/>
      <c r="E3" s="154"/>
      <c r="F3" s="155"/>
      <c r="G3" s="156"/>
      <c r="H3" s="157"/>
      <c r="I3" s="157"/>
      <c r="J3" s="157"/>
      <c r="K3" s="157"/>
    </row>
    <row r="4" spans="2:42" x14ac:dyDescent="0.2">
      <c r="B4" s="153"/>
      <c r="C4" s="153"/>
      <c r="D4" s="153"/>
      <c r="E4" s="154"/>
      <c r="F4" s="155"/>
      <c r="G4" s="156"/>
      <c r="H4" s="157"/>
      <c r="I4" s="157"/>
      <c r="J4" s="157"/>
      <c r="K4" s="157"/>
    </row>
    <row r="5" spans="2:42" ht="7.5" customHeight="1" x14ac:dyDescent="0.2">
      <c r="B5" s="153"/>
      <c r="C5" s="153"/>
      <c r="D5" s="153"/>
      <c r="E5" s="154"/>
      <c r="F5" s="155"/>
      <c r="G5" s="156"/>
      <c r="H5" s="158"/>
    </row>
    <row r="6" spans="2:42" ht="23.25" x14ac:dyDescent="0.2">
      <c r="B6" s="68" t="s">
        <v>135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</row>
    <row r="7" spans="2:42" ht="5.25" customHeight="1" thickBo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70"/>
      <c r="M7" s="67"/>
      <c r="N7" s="67"/>
      <c r="O7" s="67"/>
      <c r="P7" s="67"/>
      <c r="Q7" s="67"/>
      <c r="R7" s="67"/>
      <c r="S7" s="67"/>
      <c r="T7" s="67"/>
      <c r="U7" s="71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</row>
    <row r="8" spans="2:42" ht="12.75" customHeight="1" thickTop="1" x14ac:dyDescent="0.2">
      <c r="B8" s="152"/>
      <c r="C8" s="152"/>
      <c r="D8" s="152"/>
      <c r="E8" s="3"/>
      <c r="F8" s="4"/>
      <c r="G8" s="57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</row>
    <row r="9" spans="2:42" x14ac:dyDescent="0.2">
      <c r="B9" s="221" t="s">
        <v>136</v>
      </c>
      <c r="C9" s="222" t="s">
        <v>59</v>
      </c>
      <c r="D9" s="223"/>
      <c r="E9" s="222">
        <v>1</v>
      </c>
      <c r="F9" s="222">
        <v>2</v>
      </c>
      <c r="G9" s="222">
        <v>3</v>
      </c>
      <c r="H9" s="222">
        <v>4</v>
      </c>
      <c r="I9" s="222">
        <v>5</v>
      </c>
      <c r="J9" s="222">
        <v>6</v>
      </c>
      <c r="K9" s="222">
        <v>7</v>
      </c>
      <c r="L9" s="222">
        <v>8</v>
      </c>
      <c r="M9" s="222">
        <v>9</v>
      </c>
      <c r="N9" s="222">
        <v>10</v>
      </c>
      <c r="O9" s="222">
        <v>11</v>
      </c>
      <c r="P9" s="222">
        <v>12</v>
      </c>
      <c r="Q9" s="222">
        <v>13</v>
      </c>
      <c r="R9" s="222">
        <v>14</v>
      </c>
      <c r="S9" s="222">
        <v>15</v>
      </c>
      <c r="T9" s="222">
        <v>16</v>
      </c>
      <c r="U9" s="222">
        <v>17</v>
      </c>
      <c r="V9" s="222">
        <v>18</v>
      </c>
      <c r="W9" s="222">
        <v>19</v>
      </c>
      <c r="X9" s="222">
        <v>20</v>
      </c>
      <c r="Y9" s="222">
        <v>21</v>
      </c>
      <c r="Z9" s="222">
        <v>22</v>
      </c>
      <c r="AA9" s="222">
        <v>23</v>
      </c>
      <c r="AB9" s="222">
        <v>24</v>
      </c>
      <c r="AC9" s="222">
        <v>25</v>
      </c>
      <c r="AD9" s="222">
        <v>26</v>
      </c>
      <c r="AE9" s="222">
        <v>27</v>
      </c>
      <c r="AF9" s="222">
        <v>28</v>
      </c>
      <c r="AG9" s="222">
        <v>29</v>
      </c>
      <c r="AH9" s="222">
        <v>30</v>
      </c>
      <c r="AI9" s="222">
        <v>31</v>
      </c>
      <c r="AJ9" s="222">
        <v>32</v>
      </c>
      <c r="AK9" s="222">
        <v>33</v>
      </c>
      <c r="AL9" s="222">
        <v>34</v>
      </c>
      <c r="AM9" s="222">
        <v>35</v>
      </c>
    </row>
    <row r="10" spans="2:42" x14ac:dyDescent="0.2">
      <c r="B10" s="224" t="s">
        <v>137</v>
      </c>
      <c r="C10" s="225">
        <f t="shared" ref="C10:C20" si="0">SUM(E10:AM10)</f>
        <v>11019864570.571331</v>
      </c>
      <c r="D10" s="220"/>
      <c r="E10" s="226">
        <f t="shared" ref="E10:AM10" si="1">SUM(E11:E16)</f>
        <v>0</v>
      </c>
      <c r="F10" s="226">
        <f t="shared" si="1"/>
        <v>0</v>
      </c>
      <c r="G10" s="226">
        <f t="shared" si="1"/>
        <v>11111573.079763928</v>
      </c>
      <c r="H10" s="226">
        <f t="shared" si="1"/>
        <v>52405680.259099782</v>
      </c>
      <c r="I10" s="226">
        <f t="shared" si="1"/>
        <v>106391990.23170969</v>
      </c>
      <c r="J10" s="226">
        <f t="shared" si="1"/>
        <v>220265397.40067187</v>
      </c>
      <c r="K10" s="226">
        <f t="shared" si="1"/>
        <v>289991202.21061331</v>
      </c>
      <c r="L10" s="226">
        <f t="shared" si="1"/>
        <v>343785300.08761996</v>
      </c>
      <c r="M10" s="226">
        <f t="shared" si="1"/>
        <v>365862167.42834085</v>
      </c>
      <c r="N10" s="226">
        <f t="shared" si="1"/>
        <v>365862167.42834085</v>
      </c>
      <c r="O10" s="226">
        <f t="shared" si="1"/>
        <v>384403113.48275536</v>
      </c>
      <c r="P10" s="226">
        <f t="shared" si="1"/>
        <v>384403113.48275536</v>
      </c>
      <c r="Q10" s="226">
        <f t="shared" si="1"/>
        <v>384403113.48275536</v>
      </c>
      <c r="R10" s="226">
        <f t="shared" si="1"/>
        <v>384403113.48275536</v>
      </c>
      <c r="S10" s="226">
        <f t="shared" si="1"/>
        <v>384403113.48275536</v>
      </c>
      <c r="T10" s="226">
        <f t="shared" si="1"/>
        <v>384403113.48275536</v>
      </c>
      <c r="U10" s="226">
        <f t="shared" si="1"/>
        <v>384403113.48275536</v>
      </c>
      <c r="V10" s="226">
        <f t="shared" si="1"/>
        <v>294907036.90426159</v>
      </c>
      <c r="W10" s="226">
        <f t="shared" si="1"/>
        <v>358602941.85334414</v>
      </c>
      <c r="X10" s="226">
        <f t="shared" si="1"/>
        <v>294907036.90426159</v>
      </c>
      <c r="Y10" s="226">
        <f t="shared" si="1"/>
        <v>384403113.48275536</v>
      </c>
      <c r="Z10" s="226">
        <f t="shared" si="1"/>
        <v>313447982.9586761</v>
      </c>
      <c r="AA10" s="226">
        <f t="shared" si="1"/>
        <v>377143887.90775865</v>
      </c>
      <c r="AB10" s="226">
        <f t="shared" si="1"/>
        <v>384403113.48275536</v>
      </c>
      <c r="AC10" s="226">
        <f t="shared" si="1"/>
        <v>377143887.90775865</v>
      </c>
      <c r="AD10" s="226">
        <f t="shared" si="1"/>
        <v>384403113.48275536</v>
      </c>
      <c r="AE10" s="226">
        <f t="shared" si="1"/>
        <v>384403113.48275536</v>
      </c>
      <c r="AF10" s="226">
        <f t="shared" si="1"/>
        <v>365862167.42834085</v>
      </c>
      <c r="AG10" s="226">
        <f t="shared" si="1"/>
        <v>365862167.42834085</v>
      </c>
      <c r="AH10" s="226">
        <f t="shared" si="1"/>
        <v>365862167.42834085</v>
      </c>
      <c r="AI10" s="226">
        <f t="shared" si="1"/>
        <v>384403113.48275536</v>
      </c>
      <c r="AJ10" s="226">
        <f t="shared" si="1"/>
        <v>384403113.48275536</v>
      </c>
      <c r="AK10" s="226">
        <f t="shared" si="1"/>
        <v>384403113.48275536</v>
      </c>
      <c r="AL10" s="226">
        <f t="shared" si="1"/>
        <v>384403113.48275536</v>
      </c>
      <c r="AM10" s="226">
        <f t="shared" si="1"/>
        <v>384403113.48275536</v>
      </c>
    </row>
    <row r="11" spans="2:42" x14ac:dyDescent="0.2">
      <c r="B11" s="144" t="s">
        <v>21</v>
      </c>
      <c r="C11" s="190">
        <f t="shared" si="0"/>
        <v>588155691.11010385</v>
      </c>
      <c r="D11" s="192"/>
      <c r="E11" s="145">
        <f>'Cronograma de Implantação'!C22*'Premissas Adotadas'!$F$34*'Premissas Adotadas'!$D$34*'Premissas Adotadas'!$G$17</f>
        <v>0</v>
      </c>
      <c r="F11" s="145">
        <f>'Cronograma de Implantação'!D22*'Premissas Adotadas'!$F$34*'Premissas Adotadas'!$D$34*'Premissas Adotadas'!$G$17</f>
        <v>0</v>
      </c>
      <c r="G11" s="145">
        <f>'Cronograma de Implantação'!E22*'Premissas Adotadas'!$F$34*'Premissas Adotadas'!$D$34*'Premissas Adotadas'!$G$17</f>
        <v>1567767.3541076491</v>
      </c>
      <c r="H11" s="145">
        <f>'Cronograma de Implantação'!F22*'Premissas Adotadas'!$F$34*'Premissas Adotadas'!$D$34*'Premissas Adotadas'!$G$17</f>
        <v>7217379.4409820596</v>
      </c>
      <c r="I11" s="145">
        <f>'Cronograma de Implantação'!G22*'Premissas Adotadas'!$F$34*'Premissas Adotadas'!$D$34*'Premissas Adotadas'!$G$17</f>
        <v>11464475.327289896</v>
      </c>
      <c r="J11" s="145">
        <f>'Cronograma de Implantação'!H22*'Premissas Adotadas'!$F$34*'Premissas Adotadas'!$D$34*'Premissas Adotadas'!$G$17</f>
        <v>17203068.80453258</v>
      </c>
      <c r="K11" s="145">
        <f>'Cronograma de Implantação'!I22*'Premissas Adotadas'!$F$34*'Premissas Adotadas'!$D$34*'Premissas Adotadas'!$G$17</f>
        <v>18989758.627006613</v>
      </c>
      <c r="L11" s="145">
        <f>'Cronograma de Implantação'!J22*'Premissas Adotadas'!$F$34*'Premissas Adotadas'!$D$34*'Premissas Adotadas'!$G$17</f>
        <v>18989758.627006613</v>
      </c>
      <c r="M11" s="145">
        <f>'Cronograma de Implantação'!K22*'Premissas Adotadas'!$F$34*'Premissas Adotadas'!$D$34*'Premissas Adotadas'!$G$17</f>
        <v>18989758.627006613</v>
      </c>
      <c r="N11" s="145">
        <f>'Cronograma de Implantação'!L22*'Premissas Adotadas'!$F$34*'Premissas Adotadas'!$D$34*'Premissas Adotadas'!$G$17</f>
        <v>18989758.627006613</v>
      </c>
      <c r="O11" s="145">
        <f>'Cronograma de Implantação'!M22*'Premissas Adotadas'!$F$34*'Premissas Adotadas'!$D$34*'Premissas Adotadas'!$G$17</f>
        <v>18989758.627006613</v>
      </c>
      <c r="P11" s="145">
        <f t="shared" ref="P11:AE13" si="2">O11</f>
        <v>18989758.627006613</v>
      </c>
      <c r="Q11" s="145">
        <f t="shared" si="2"/>
        <v>18989758.627006613</v>
      </c>
      <c r="R11" s="145">
        <f t="shared" si="2"/>
        <v>18989758.627006613</v>
      </c>
      <c r="S11" s="145">
        <f t="shared" si="2"/>
        <v>18989758.627006613</v>
      </c>
      <c r="T11" s="145">
        <f t="shared" si="2"/>
        <v>18989758.627006613</v>
      </c>
      <c r="U11" s="145">
        <f t="shared" si="2"/>
        <v>18989758.627006613</v>
      </c>
      <c r="V11" s="145">
        <f t="shared" si="2"/>
        <v>18989758.627006613</v>
      </c>
      <c r="W11" s="145">
        <f t="shared" si="2"/>
        <v>18989758.627006613</v>
      </c>
      <c r="X11" s="145">
        <f t="shared" si="2"/>
        <v>18989758.627006613</v>
      </c>
      <c r="Y11" s="145">
        <f t="shared" si="2"/>
        <v>18989758.627006613</v>
      </c>
      <c r="Z11" s="145">
        <f t="shared" si="2"/>
        <v>18989758.627006613</v>
      </c>
      <c r="AA11" s="145">
        <f t="shared" si="2"/>
        <v>18989758.627006613</v>
      </c>
      <c r="AB11" s="145">
        <f t="shared" si="2"/>
        <v>18989758.627006613</v>
      </c>
      <c r="AC11" s="145">
        <f t="shared" si="2"/>
        <v>18989758.627006613</v>
      </c>
      <c r="AD11" s="145">
        <f t="shared" si="2"/>
        <v>18989758.627006613</v>
      </c>
      <c r="AE11" s="145">
        <f t="shared" si="2"/>
        <v>18989758.627006613</v>
      </c>
      <c r="AF11" s="145">
        <f t="shared" ref="AF11:AM13" si="3">AE11</f>
        <v>18989758.627006613</v>
      </c>
      <c r="AG11" s="145">
        <f t="shared" si="3"/>
        <v>18989758.627006613</v>
      </c>
      <c r="AH11" s="145">
        <f t="shared" si="3"/>
        <v>18989758.627006613</v>
      </c>
      <c r="AI11" s="145">
        <f t="shared" si="3"/>
        <v>18989758.627006613</v>
      </c>
      <c r="AJ11" s="145">
        <f t="shared" si="3"/>
        <v>18989758.627006613</v>
      </c>
      <c r="AK11" s="145">
        <f t="shared" si="3"/>
        <v>18989758.627006613</v>
      </c>
      <c r="AL11" s="145">
        <f t="shared" si="3"/>
        <v>18989758.627006613</v>
      </c>
      <c r="AM11" s="145">
        <f t="shared" si="3"/>
        <v>18989758.627006613</v>
      </c>
    </row>
    <row r="12" spans="2:42" x14ac:dyDescent="0.2">
      <c r="B12" s="144" t="s">
        <v>22</v>
      </c>
      <c r="C12" s="190">
        <f t="shared" si="0"/>
        <v>607130714.00187039</v>
      </c>
      <c r="D12" s="192"/>
      <c r="E12" s="145">
        <f>'Cronograma de Implantação'!C26*'Premissas Adotadas'!$F$35*'Premissas Adotadas'!$D$35*'Premissas Adotadas'!$G$18</f>
        <v>0</v>
      </c>
      <c r="F12" s="145">
        <f>'Cronograma de Implantação'!D26*'Premissas Adotadas'!$F$35*'Premissas Adotadas'!$D$35*'Premissas Adotadas'!$G$18</f>
        <v>0</v>
      </c>
      <c r="G12" s="145">
        <f>'Cronograma de Implantação'!E26*'Premissas Adotadas'!$F$35*'Premissas Adotadas'!$D$35*'Premissas Adotadas'!$G$18</f>
        <v>1618346.5151746934</v>
      </c>
      <c r="H12" s="145">
        <f>'Cronograma de Implantação'!F26*'Premissas Adotadas'!$F$35*'Premissas Adotadas'!$D$35*'Premissas Adotadas'!$G$18</f>
        <v>7450225.8491375521</v>
      </c>
      <c r="I12" s="145">
        <f>'Cronograma de Implantação'!G26*'Premissas Adotadas'!$F$35*'Premissas Adotadas'!$D$35*'Premissas Adotadas'!$G$18</f>
        <v>11834341.138444129</v>
      </c>
      <c r="J12" s="145">
        <f>'Cronograma de Implantação'!H26*'Premissas Adotadas'!$F$35*'Premissas Adotadas'!$D$35*'Premissas Adotadas'!$G$18</f>
        <v>17758072.571916904</v>
      </c>
      <c r="K12" s="145">
        <f>'Cronograma de Implantação'!I26*'Premissas Adotadas'!$F$35*'Premissas Adotadas'!$D$35*'Premissas Adotadas'!$G$18</f>
        <v>19602404.411282659</v>
      </c>
      <c r="L12" s="145">
        <f>'Cronograma de Implantação'!J26*'Premissas Adotadas'!$F$35*'Premissas Adotadas'!$D$35*'Premissas Adotadas'!$G$18</f>
        <v>19602404.411282659</v>
      </c>
      <c r="M12" s="145">
        <f>'Cronograma de Implantação'!K26*'Premissas Adotadas'!$F$35*'Premissas Adotadas'!$D$35*'Premissas Adotadas'!$G$18</f>
        <v>19602404.411282659</v>
      </c>
      <c r="N12" s="145">
        <f>'Cronograma de Implantação'!L26*'Premissas Adotadas'!$F$35*'Premissas Adotadas'!$D$35*'Premissas Adotadas'!$G$18</f>
        <v>19602404.411282659</v>
      </c>
      <c r="O12" s="145">
        <f>'Cronograma de Implantação'!M26*'Premissas Adotadas'!$F$35*'Premissas Adotadas'!$D$35*'Premissas Adotadas'!$G$18</f>
        <v>19602404.411282659</v>
      </c>
      <c r="P12" s="145">
        <f t="shared" si="2"/>
        <v>19602404.411282659</v>
      </c>
      <c r="Q12" s="145">
        <f t="shared" si="2"/>
        <v>19602404.411282659</v>
      </c>
      <c r="R12" s="145">
        <f t="shared" si="2"/>
        <v>19602404.411282659</v>
      </c>
      <c r="S12" s="145">
        <f t="shared" si="2"/>
        <v>19602404.411282659</v>
      </c>
      <c r="T12" s="145">
        <f t="shared" si="2"/>
        <v>19602404.411282659</v>
      </c>
      <c r="U12" s="145">
        <f t="shared" si="2"/>
        <v>19602404.411282659</v>
      </c>
      <c r="V12" s="145">
        <f t="shared" si="2"/>
        <v>19602404.411282659</v>
      </c>
      <c r="W12" s="145">
        <f t="shared" si="2"/>
        <v>19602404.411282659</v>
      </c>
      <c r="X12" s="145">
        <f t="shared" si="2"/>
        <v>19602404.411282659</v>
      </c>
      <c r="Y12" s="145">
        <f t="shared" si="2"/>
        <v>19602404.411282659</v>
      </c>
      <c r="Z12" s="145">
        <f t="shared" si="2"/>
        <v>19602404.411282659</v>
      </c>
      <c r="AA12" s="145">
        <f t="shared" si="2"/>
        <v>19602404.411282659</v>
      </c>
      <c r="AB12" s="145">
        <f t="shared" si="2"/>
        <v>19602404.411282659</v>
      </c>
      <c r="AC12" s="145">
        <f t="shared" si="2"/>
        <v>19602404.411282659</v>
      </c>
      <c r="AD12" s="145">
        <f t="shared" si="2"/>
        <v>19602404.411282659</v>
      </c>
      <c r="AE12" s="145">
        <f t="shared" si="2"/>
        <v>19602404.411282659</v>
      </c>
      <c r="AF12" s="145">
        <f t="shared" si="3"/>
        <v>19602404.411282659</v>
      </c>
      <c r="AG12" s="145">
        <f t="shared" si="3"/>
        <v>19602404.411282659</v>
      </c>
      <c r="AH12" s="145">
        <f t="shared" si="3"/>
        <v>19602404.411282659</v>
      </c>
      <c r="AI12" s="145">
        <f t="shared" si="3"/>
        <v>19602404.411282659</v>
      </c>
      <c r="AJ12" s="145">
        <f t="shared" si="3"/>
        <v>19602404.411282659</v>
      </c>
      <c r="AK12" s="145">
        <f t="shared" si="3"/>
        <v>19602404.411282659</v>
      </c>
      <c r="AL12" s="145">
        <f t="shared" si="3"/>
        <v>19602404.411282659</v>
      </c>
      <c r="AM12" s="145">
        <f t="shared" si="3"/>
        <v>19602404.411282659</v>
      </c>
    </row>
    <row r="13" spans="2:42" x14ac:dyDescent="0.2">
      <c r="B13" s="144" t="s">
        <v>107</v>
      </c>
      <c r="C13" s="190">
        <f t="shared" si="0"/>
        <v>1720355396.4970531</v>
      </c>
      <c r="D13" s="192"/>
      <c r="E13" s="145">
        <f>'Cronograma de Implantação'!C30*'Premissas Adotadas'!$F$36*'Premissas Adotadas'!$D$36*'Premissas Adotadas'!$G$19</f>
        <v>0</v>
      </c>
      <c r="F13" s="145">
        <f>'Cronograma de Implantação'!D30*'Premissas Adotadas'!$F$36*'Premissas Adotadas'!$D$36*'Premissas Adotadas'!$G$19</f>
        <v>0</v>
      </c>
      <c r="G13" s="145">
        <f>'Cronograma de Implantação'!E30*'Premissas Adotadas'!$F$36*'Premissas Adotadas'!$D$36*'Premissas Adotadas'!$G$19</f>
        <v>4585719.5107648727</v>
      </c>
      <c r="H13" s="145">
        <f>'Cronograma de Implantação'!F30*'Premissas Adotadas'!$F$36*'Premissas Adotadas'!$D$36*'Premissas Adotadas'!$G$19</f>
        <v>21110834.864872523</v>
      </c>
      <c r="I13" s="145">
        <f>'Cronograma de Implantação'!G30*'Premissas Adotadas'!$F$36*'Premissas Adotadas'!$D$36*'Premissas Adotadas'!$G$19</f>
        <v>33533590.332322948</v>
      </c>
      <c r="J13" s="145">
        <f>'Cronograma de Implantação'!H30*'Premissas Adotadas'!$F$36*'Premissas Adotadas'!$D$36*'Premissas Adotadas'!$G$19</f>
        <v>50318976.253257796</v>
      </c>
      <c r="K13" s="145">
        <f>'Cronograma de Implantação'!I30*'Premissas Adotadas'!$F$36*'Premissas Adotadas'!$D$36*'Premissas Adotadas'!$G$19</f>
        <v>55545043.983994342</v>
      </c>
      <c r="L13" s="145">
        <f>'Cronograma de Implantação'!J30*'Premissas Adotadas'!$F$36*'Premissas Adotadas'!$D$36*'Premissas Adotadas'!$G$19</f>
        <v>55545043.983994342</v>
      </c>
      <c r="M13" s="145">
        <f>'Cronograma de Implantação'!K30*'Premissas Adotadas'!$F$36*'Premissas Adotadas'!$D$36*'Premissas Adotadas'!$G$19</f>
        <v>55545043.983994342</v>
      </c>
      <c r="N13" s="145">
        <f>'Cronograma de Implantação'!L30*'Premissas Adotadas'!$F$36*'Premissas Adotadas'!$D$36*'Premissas Adotadas'!$G$19</f>
        <v>55545043.983994342</v>
      </c>
      <c r="O13" s="145">
        <f>'Cronograma de Implantação'!M30*'Premissas Adotadas'!$F$36*'Premissas Adotadas'!$D$36*'Premissas Adotadas'!$G$19</f>
        <v>55545043.983994342</v>
      </c>
      <c r="P13" s="145">
        <f t="shared" si="2"/>
        <v>55545043.983994342</v>
      </c>
      <c r="Q13" s="145">
        <f t="shared" si="2"/>
        <v>55545043.983994342</v>
      </c>
      <c r="R13" s="145">
        <f t="shared" si="2"/>
        <v>55545043.983994342</v>
      </c>
      <c r="S13" s="145">
        <f t="shared" si="2"/>
        <v>55545043.983994342</v>
      </c>
      <c r="T13" s="145">
        <f t="shared" si="2"/>
        <v>55545043.983994342</v>
      </c>
      <c r="U13" s="145">
        <f t="shared" si="2"/>
        <v>55545043.983994342</v>
      </c>
      <c r="V13" s="145">
        <f t="shared" si="2"/>
        <v>55545043.983994342</v>
      </c>
      <c r="W13" s="145">
        <f t="shared" si="2"/>
        <v>55545043.983994342</v>
      </c>
      <c r="X13" s="145">
        <f t="shared" si="2"/>
        <v>55545043.983994342</v>
      </c>
      <c r="Y13" s="145">
        <f t="shared" si="2"/>
        <v>55545043.983994342</v>
      </c>
      <c r="Z13" s="145">
        <f t="shared" si="2"/>
        <v>55545043.983994342</v>
      </c>
      <c r="AA13" s="145">
        <f t="shared" si="2"/>
        <v>55545043.983994342</v>
      </c>
      <c r="AB13" s="145">
        <f t="shared" si="2"/>
        <v>55545043.983994342</v>
      </c>
      <c r="AC13" s="145">
        <f t="shared" si="2"/>
        <v>55545043.983994342</v>
      </c>
      <c r="AD13" s="145">
        <f t="shared" si="2"/>
        <v>55545043.983994342</v>
      </c>
      <c r="AE13" s="145">
        <f t="shared" si="2"/>
        <v>55545043.983994342</v>
      </c>
      <c r="AF13" s="145">
        <f t="shared" si="3"/>
        <v>55545043.983994342</v>
      </c>
      <c r="AG13" s="145">
        <f t="shared" si="3"/>
        <v>55545043.983994342</v>
      </c>
      <c r="AH13" s="145">
        <f t="shared" si="3"/>
        <v>55545043.983994342</v>
      </c>
      <c r="AI13" s="145">
        <f t="shared" si="3"/>
        <v>55545043.983994342</v>
      </c>
      <c r="AJ13" s="145">
        <f t="shared" si="3"/>
        <v>55545043.983994342</v>
      </c>
      <c r="AK13" s="145">
        <f t="shared" si="3"/>
        <v>55545043.983994342</v>
      </c>
      <c r="AL13" s="145">
        <f t="shared" si="3"/>
        <v>55545043.983994342</v>
      </c>
      <c r="AM13" s="145">
        <f t="shared" si="3"/>
        <v>55545043.983994342</v>
      </c>
    </row>
    <row r="14" spans="2:42" x14ac:dyDescent="0.2">
      <c r="B14" s="144" t="s">
        <v>205</v>
      </c>
      <c r="C14" s="190">
        <f t="shared" si="0"/>
        <v>5954325512.8470249</v>
      </c>
      <c r="D14" s="192"/>
      <c r="E14" s="145">
        <f>'Premissas Adotadas'!$D$38*'Cronograma de Implantação'!C54</f>
        <v>0</v>
      </c>
      <c r="F14" s="145">
        <f>'Premissas Adotadas'!$D$38*'Cronograma de Implantação'!D54</f>
        <v>0</v>
      </c>
      <c r="G14" s="145">
        <f>'Premissas Adotadas'!$D$38*'Cronograma de Implantação'!E54</f>
        <v>0</v>
      </c>
      <c r="H14" s="145">
        <f>'Premissas Adotadas'!$D$38*'Cronograma de Implantação'!F54</f>
        <v>0</v>
      </c>
      <c r="I14" s="145">
        <f>'Premissas Adotadas'!$D$38*'Cronograma de Implantação'!G54</f>
        <v>17573862.747875351</v>
      </c>
      <c r="J14" s="145">
        <f>'Premissas Adotadas'!$D$38*'Cronograma de Implantação'!H54</f>
        <v>80903097.875354126</v>
      </c>
      <c r="K14" s="145">
        <f>'Premissas Adotadas'!$D$38*'Cronograma de Implantação'!I54</f>
        <v>128510850.38243625</v>
      </c>
      <c r="L14" s="145">
        <f>'Premissas Adotadas'!$D$38*'Cronograma de Implantação'!J54</f>
        <v>192837520.96317279</v>
      </c>
      <c r="M14" s="145">
        <f>'Premissas Adotadas'!$D$38*'Cronograma de Implantação'!K54</f>
        <v>212865391.57223794</v>
      </c>
      <c r="N14" s="145">
        <f>'Premissas Adotadas'!$D$38*'Cronograma de Implantação'!L54</f>
        <v>212865391.57223794</v>
      </c>
      <c r="O14" s="145">
        <f>'Premissas Adotadas'!$D$38*'Cronograma de Implantação'!M54</f>
        <v>212865391.57223794</v>
      </c>
      <c r="P14" s="145">
        <f>'Premissas Adotadas'!$D$38*'Cronograma de Implantação'!N54</f>
        <v>212865391.57223794</v>
      </c>
      <c r="Q14" s="145">
        <f>'Premissas Adotadas'!$D$38*'Cronograma de Implantação'!O54</f>
        <v>212865391.57223794</v>
      </c>
      <c r="R14" s="145">
        <f>'Premissas Adotadas'!$D$38*'Cronograma de Implantação'!P54</f>
        <v>212865391.57223794</v>
      </c>
      <c r="S14" s="145">
        <f>'Premissas Adotadas'!$D$38*'Cronograma de Implantação'!Q54</f>
        <v>212865391.57223794</v>
      </c>
      <c r="T14" s="145">
        <f>'Premissas Adotadas'!$D$38*'Cronograma de Implantação'!R54</f>
        <v>212865391.57223794</v>
      </c>
      <c r="U14" s="145">
        <f>'Premissas Adotadas'!$D$38*'Cronograma de Implantação'!S54</f>
        <v>212865391.57223794</v>
      </c>
      <c r="V14" s="145">
        <f>'Premissas Adotadas'!$D$38*'Cronograma de Implantação'!T54</f>
        <v>141910261.04815862</v>
      </c>
      <c r="W14" s="145">
        <f>'Premissas Adotadas'!$D$38*'Cronograma de Implantação'!U54</f>
        <v>212865391.57223794</v>
      </c>
      <c r="X14" s="145">
        <f>'Premissas Adotadas'!$D$38*'Cronograma de Implantação'!V54</f>
        <v>141910261.04815862</v>
      </c>
      <c r="Y14" s="145">
        <f>'Premissas Adotadas'!$D$38*'Cronograma de Implantação'!W54</f>
        <v>212865391.57223794</v>
      </c>
      <c r="Z14" s="145">
        <f>'Premissas Adotadas'!$D$38*'Cronograma de Implantação'!X54</f>
        <v>141910261.04815862</v>
      </c>
      <c r="AA14" s="145">
        <f>'Premissas Adotadas'!$D$38*'Cronograma de Implantação'!Y54</f>
        <v>212865391.57223794</v>
      </c>
      <c r="AB14" s="145">
        <f>'Premissas Adotadas'!$D$38*'Cronograma de Implantação'!Z54</f>
        <v>212865391.57223794</v>
      </c>
      <c r="AC14" s="145">
        <f>'Premissas Adotadas'!$D$38*'Cronograma de Implantação'!AA54</f>
        <v>212865391.57223794</v>
      </c>
      <c r="AD14" s="145">
        <f>'Premissas Adotadas'!$D$38*'Cronograma de Implantação'!AB54</f>
        <v>212865391.57223794</v>
      </c>
      <c r="AE14" s="145">
        <f>'Premissas Adotadas'!$D$38*'Cronograma de Implantação'!AC54</f>
        <v>212865391.57223794</v>
      </c>
      <c r="AF14" s="145">
        <f>'Premissas Adotadas'!$D$38*'Cronograma de Implantação'!AD54</f>
        <v>212865391.57223794</v>
      </c>
      <c r="AG14" s="145">
        <f>'Premissas Adotadas'!$D$38*'Cronograma de Implantação'!AE54</f>
        <v>212865391.57223794</v>
      </c>
      <c r="AH14" s="145">
        <f>'Premissas Adotadas'!$D$38*'Cronograma de Implantação'!AF54</f>
        <v>212865391.57223794</v>
      </c>
      <c r="AI14" s="145">
        <f>'Premissas Adotadas'!$D$38*'Cronograma de Implantação'!AG54</f>
        <v>212865391.57223794</v>
      </c>
      <c r="AJ14" s="145">
        <f>'Premissas Adotadas'!$D$38*'Cronograma de Implantação'!AH54</f>
        <v>212865391.57223794</v>
      </c>
      <c r="AK14" s="145">
        <f>'Premissas Adotadas'!$D$38*'Cronograma de Implantação'!AI54</f>
        <v>212865391.57223794</v>
      </c>
      <c r="AL14" s="145">
        <f>'Premissas Adotadas'!$D$38*'Cronograma de Implantação'!AJ54</f>
        <v>212865391.57223794</v>
      </c>
      <c r="AM14" s="145">
        <f>'Premissas Adotadas'!$D$38*'Cronograma de Implantação'!AK54</f>
        <v>212865391.57223794</v>
      </c>
    </row>
    <row r="15" spans="2:42" x14ac:dyDescent="0.2">
      <c r="B15" s="144" t="s">
        <v>206</v>
      </c>
      <c r="C15" s="190">
        <f t="shared" ref="C15" si="4">SUM(E15:AM15)</f>
        <v>609170777.72193491</v>
      </c>
      <c r="D15" s="192"/>
      <c r="E15" s="145">
        <f>'Premissas Adotadas'!$D$39*'Cronograma de Implantação'!C60</f>
        <v>0</v>
      </c>
      <c r="F15" s="145">
        <f>'Premissas Adotadas'!$D$39*'Cronograma de Implantação'!D60</f>
        <v>0</v>
      </c>
      <c r="G15" s="145">
        <f>'Premissas Adotadas'!$D$39*'Cronograma de Implantação'!E60</f>
        <v>0</v>
      </c>
      <c r="H15" s="145">
        <f>'Premissas Adotadas'!$D$39*'Cronograma de Implantação'!F60</f>
        <v>0</v>
      </c>
      <c r="I15" s="145">
        <f>'Premissas Adotadas'!$D$39*'Cronograma de Implantação'!G60</f>
        <v>1797933.8910181634</v>
      </c>
      <c r="J15" s="145">
        <f>'Premissas Adotadas'!$D$39*'Cronograma de Implantação'!H60</f>
        <v>8276974.9397322694</v>
      </c>
      <c r="K15" s="145">
        <f>'Premissas Adotadas'!$D$39*'Cronograma de Implantação'!I60</f>
        <v>13147594.048103096</v>
      </c>
      <c r="L15" s="145">
        <f>'Premissas Adotadas'!$D$39*'Cronograma de Implantação'!J60</f>
        <v>19728679.993334446</v>
      </c>
      <c r="M15" s="145">
        <f>'Premissas Adotadas'!$D$39*'Cronograma de Implantação'!K60</f>
        <v>21777676.724990278</v>
      </c>
      <c r="N15" s="145">
        <f>'Premissas Adotadas'!$D$39*'Cronograma de Implantação'!L60</f>
        <v>21777676.724990278</v>
      </c>
      <c r="O15" s="145">
        <f>'Premissas Adotadas'!$D$39*'Cronograma de Implantação'!M60</f>
        <v>21777676.724990278</v>
      </c>
      <c r="P15" s="145">
        <f>'Premissas Adotadas'!$D$39*'Cronograma de Implantação'!N60</f>
        <v>21777676.724990278</v>
      </c>
      <c r="Q15" s="145">
        <f>'Premissas Adotadas'!$D$39*'Cronograma de Implantação'!O60</f>
        <v>21777676.724990278</v>
      </c>
      <c r="R15" s="145">
        <f>'Premissas Adotadas'!$D$39*'Cronograma de Implantação'!P60</f>
        <v>21777676.724990278</v>
      </c>
      <c r="S15" s="145">
        <f>'Premissas Adotadas'!$D$39*'Cronograma de Implantação'!Q60</f>
        <v>21777676.724990278</v>
      </c>
      <c r="T15" s="145">
        <f>'Premissas Adotadas'!$D$39*'Cronograma de Implantação'!R60</f>
        <v>21777676.724990278</v>
      </c>
      <c r="U15" s="145">
        <f>'Premissas Adotadas'!$D$39*'Cronograma de Implantação'!S60</f>
        <v>21777676.724990278</v>
      </c>
      <c r="V15" s="145">
        <f>'Premissas Adotadas'!$D$39*'Cronograma de Implantação'!T60</f>
        <v>21777676.724990278</v>
      </c>
      <c r="W15" s="145">
        <f>'Premissas Adotadas'!$D$39*'Cronograma de Implantação'!U60</f>
        <v>14518451.149993518</v>
      </c>
      <c r="X15" s="145">
        <f>'Premissas Adotadas'!$D$39*'Cronograma de Implantação'!V60</f>
        <v>21777676.724990278</v>
      </c>
      <c r="Y15" s="145">
        <f>'Premissas Adotadas'!$D$39*'Cronograma de Implantação'!W60</f>
        <v>21777676.724990278</v>
      </c>
      <c r="Z15" s="145">
        <f>'Premissas Adotadas'!$D$39*'Cronograma de Implantação'!X60</f>
        <v>21777676.724990278</v>
      </c>
      <c r="AA15" s="145">
        <f>'Premissas Adotadas'!$D$39*'Cronograma de Implantação'!Y60</f>
        <v>14518451.149993518</v>
      </c>
      <c r="AB15" s="145">
        <f>'Premissas Adotadas'!$D$39*'Cronograma de Implantação'!Z60</f>
        <v>21777676.724990278</v>
      </c>
      <c r="AC15" s="145">
        <f>'Premissas Adotadas'!$D$39*'Cronograma de Implantação'!AA60</f>
        <v>14518451.149993518</v>
      </c>
      <c r="AD15" s="145">
        <f>'Premissas Adotadas'!$D$39*'Cronograma de Implantação'!AB60</f>
        <v>21777676.724990278</v>
      </c>
      <c r="AE15" s="145">
        <f>'Premissas Adotadas'!$D$39*'Cronograma de Implantação'!AC60</f>
        <v>21777676.724990278</v>
      </c>
      <c r="AF15" s="145">
        <f>'Premissas Adotadas'!$D$39*'Cronograma de Implantação'!AD60</f>
        <v>21777676.724990278</v>
      </c>
      <c r="AG15" s="145">
        <f>'Premissas Adotadas'!$D$39*'Cronograma de Implantação'!AE60</f>
        <v>21777676.724990278</v>
      </c>
      <c r="AH15" s="145">
        <f>'Premissas Adotadas'!$D$39*'Cronograma de Implantação'!AF60</f>
        <v>21777676.724990278</v>
      </c>
      <c r="AI15" s="145">
        <f>'Premissas Adotadas'!$D$39*'Cronograma de Implantação'!AG60</f>
        <v>21777676.724990278</v>
      </c>
      <c r="AJ15" s="145">
        <f>'Premissas Adotadas'!$D$39*'Cronograma de Implantação'!AH60</f>
        <v>21777676.724990278</v>
      </c>
      <c r="AK15" s="145">
        <f>'Premissas Adotadas'!$D$39*'Cronograma de Implantação'!AI60</f>
        <v>21777676.724990278</v>
      </c>
      <c r="AL15" s="145">
        <f>'Premissas Adotadas'!$D$39*'Cronograma de Implantação'!AJ60</f>
        <v>21777676.724990278</v>
      </c>
      <c r="AM15" s="145">
        <f>'Premissas Adotadas'!$D$39*'Cronograma de Implantação'!AK60</f>
        <v>21777676.724990278</v>
      </c>
    </row>
    <row r="16" spans="2:42" x14ac:dyDescent="0.2">
      <c r="B16" s="144" t="s">
        <v>207</v>
      </c>
      <c r="C16" s="190">
        <f t="shared" si="0"/>
        <v>1540726478.3933418</v>
      </c>
      <c r="D16" s="192"/>
      <c r="E16" s="169">
        <f>'Premissas Adotadas'!$D$40*'Cronograma de Implantação'!C66</f>
        <v>0</v>
      </c>
      <c r="F16" s="169">
        <f>'Premissas Adotadas'!$D$40*'Cronograma de Implantação'!D66</f>
        <v>0</v>
      </c>
      <c r="G16" s="169">
        <f>'Premissas Adotadas'!$D$40*'Cronograma de Implantação'!E66</f>
        <v>3339739.6997167137</v>
      </c>
      <c r="H16" s="169">
        <f>'Premissas Adotadas'!$D$40*'Cronograma de Implantação'!F66</f>
        <v>16627240.10410765</v>
      </c>
      <c r="I16" s="169">
        <f>'Premissas Adotadas'!$D$40*'Cronograma de Implantação'!G66</f>
        <v>30187786.794759206</v>
      </c>
      <c r="J16" s="169">
        <f>'Premissas Adotadas'!$D$40*'Cronograma de Implantação'!H66</f>
        <v>45805206.955878191</v>
      </c>
      <c r="K16" s="169">
        <f>'Premissas Adotadas'!$D$40*'Cronograma de Implantação'!I66</f>
        <v>54195550.757790364</v>
      </c>
      <c r="L16" s="169">
        <f>'Premissas Adotadas'!$D$40*'Cronograma de Implantação'!J66</f>
        <v>37081892.108829074</v>
      </c>
      <c r="M16" s="169">
        <f>'Premissas Adotadas'!$D$40*'Cronograma de Implantação'!K66</f>
        <v>37081892.108829074</v>
      </c>
      <c r="N16" s="169">
        <f>'Premissas Adotadas'!$D$40*'Cronograma de Implantação'!L66</f>
        <v>37081892.108829074</v>
      </c>
      <c r="O16" s="169">
        <f>'Premissas Adotadas'!$D$40*'Cronograma de Implantação'!M66</f>
        <v>55622838.163243614</v>
      </c>
      <c r="P16" s="169">
        <f>'Premissas Adotadas'!$D$40*'Cronograma de Implantação'!N66</f>
        <v>55622838.163243614</v>
      </c>
      <c r="Q16" s="169">
        <f>'Premissas Adotadas'!$D$40*'Cronograma de Implantação'!O66</f>
        <v>55622838.163243614</v>
      </c>
      <c r="R16" s="169">
        <f>'Premissas Adotadas'!$D$40*'Cronograma de Implantação'!P66</f>
        <v>55622838.163243614</v>
      </c>
      <c r="S16" s="169">
        <f>'Premissas Adotadas'!$D$40*'Cronograma de Implantação'!Q66</f>
        <v>55622838.163243614</v>
      </c>
      <c r="T16" s="169">
        <f>'Premissas Adotadas'!$D$40*'Cronograma de Implantação'!R66</f>
        <v>55622838.163243614</v>
      </c>
      <c r="U16" s="169">
        <f>'Premissas Adotadas'!$D$40*'Cronograma de Implantação'!S66</f>
        <v>55622838.163243614</v>
      </c>
      <c r="V16" s="169">
        <f>'Premissas Adotadas'!$D$40*'Cronograma de Implantação'!T66</f>
        <v>37081892.108829074</v>
      </c>
      <c r="W16" s="169">
        <f>'Premissas Adotadas'!$D$40*'Cronograma de Implantação'!U66</f>
        <v>37081892.108829074</v>
      </c>
      <c r="X16" s="169">
        <f>'Premissas Adotadas'!$D$40*'Cronograma de Implantação'!V66</f>
        <v>37081892.108829074</v>
      </c>
      <c r="Y16" s="169">
        <f>'Premissas Adotadas'!$D$40*'Cronograma de Implantação'!W66</f>
        <v>55622838.163243614</v>
      </c>
      <c r="Z16" s="169">
        <f>'Premissas Adotadas'!$D$40*'Cronograma de Implantação'!X66</f>
        <v>55622838.163243614</v>
      </c>
      <c r="AA16" s="169">
        <f>'Premissas Adotadas'!$D$40*'Cronograma de Implantação'!Y66</f>
        <v>55622838.163243614</v>
      </c>
      <c r="AB16" s="169">
        <f>'Premissas Adotadas'!$D$40*'Cronograma de Implantação'!Z66</f>
        <v>55622838.163243614</v>
      </c>
      <c r="AC16" s="169">
        <f>'Premissas Adotadas'!$D$40*'Cronograma de Implantação'!AA66</f>
        <v>55622838.163243614</v>
      </c>
      <c r="AD16" s="169">
        <f>'Premissas Adotadas'!$D$40*'Cronograma de Implantação'!AB66</f>
        <v>55622838.163243614</v>
      </c>
      <c r="AE16" s="169">
        <f>'Premissas Adotadas'!$D$40*'Cronograma de Implantação'!AC66</f>
        <v>55622838.163243614</v>
      </c>
      <c r="AF16" s="169">
        <f>'Premissas Adotadas'!$D$40*'Cronograma de Implantação'!AD66</f>
        <v>37081892.108829074</v>
      </c>
      <c r="AG16" s="169">
        <f>'Premissas Adotadas'!$D$40*'Cronograma de Implantação'!AE66</f>
        <v>37081892.108829074</v>
      </c>
      <c r="AH16" s="169">
        <f>'Premissas Adotadas'!$D$40*'Cronograma de Implantação'!AF66</f>
        <v>37081892.108829074</v>
      </c>
      <c r="AI16" s="169">
        <f>'Premissas Adotadas'!$D$40*'Cronograma de Implantação'!AG66</f>
        <v>55622838.163243614</v>
      </c>
      <c r="AJ16" s="169">
        <f>'Premissas Adotadas'!$D$40*'Cronograma de Implantação'!AH66</f>
        <v>55622838.163243614</v>
      </c>
      <c r="AK16" s="169">
        <f>'Premissas Adotadas'!$D$40*'Cronograma de Implantação'!AI66</f>
        <v>55622838.163243614</v>
      </c>
      <c r="AL16" s="169">
        <f>'Premissas Adotadas'!$D$40*'Cronograma de Implantação'!AJ66</f>
        <v>55622838.163243614</v>
      </c>
      <c r="AM16" s="169">
        <f>'Premissas Adotadas'!$D$40*'Cronograma de Implantação'!AK66</f>
        <v>55622838.163243614</v>
      </c>
    </row>
    <row r="17" spans="2:40" x14ac:dyDescent="0.2">
      <c r="B17" s="224" t="s">
        <v>138</v>
      </c>
      <c r="C17" s="225">
        <f t="shared" si="0"/>
        <v>-647451412.12029159</v>
      </c>
      <c r="D17" s="220"/>
      <c r="E17" s="226">
        <f t="shared" ref="E17:AM17" si="5">SUM(E18:E19)</f>
        <v>0</v>
      </c>
      <c r="F17" s="226">
        <f t="shared" si="5"/>
        <v>0</v>
      </c>
      <c r="G17" s="226">
        <f t="shared" si="5"/>
        <v>333370.22949801455</v>
      </c>
      <c r="H17" s="226">
        <f t="shared" si="5"/>
        <v>1393182.9200757246</v>
      </c>
      <c r="I17" s="226">
        <f t="shared" si="5"/>
        <v>-402714.42354397662</v>
      </c>
      <c r="J17" s="226">
        <f t="shared" si="5"/>
        <v>-7454177.3946650168</v>
      </c>
      <c r="K17" s="226">
        <f t="shared" si="5"/>
        <v>-13522331.037105661</v>
      </c>
      <c r="L17" s="226">
        <f t="shared" si="5"/>
        <v>-19477994.210964743</v>
      </c>
      <c r="M17" s="226">
        <f t="shared" si="5"/>
        <v>-21972680.220466204</v>
      </c>
      <c r="N17" s="226">
        <f t="shared" si="5"/>
        <v>-21972680.220466204</v>
      </c>
      <c r="O17" s="226">
        <f t="shared" si="5"/>
        <v>-24190877.010857709</v>
      </c>
      <c r="P17" s="226">
        <f t="shared" si="5"/>
        <v>-24190877.010857709</v>
      </c>
      <c r="Q17" s="226">
        <f t="shared" si="5"/>
        <v>-24190877.010857709</v>
      </c>
      <c r="R17" s="226">
        <f t="shared" si="5"/>
        <v>-24190877.010857709</v>
      </c>
      <c r="S17" s="226">
        <f t="shared" si="5"/>
        <v>-24190877.010857709</v>
      </c>
      <c r="T17" s="226">
        <f t="shared" si="5"/>
        <v>-24190877.010857709</v>
      </c>
      <c r="U17" s="226">
        <f t="shared" si="5"/>
        <v>-24190877.010857709</v>
      </c>
      <c r="V17" s="226">
        <f t="shared" si="5"/>
        <v>-13810163.306789912</v>
      </c>
      <c r="W17" s="226">
        <f t="shared" si="5"/>
        <v>-21106078.211995803</v>
      </c>
      <c r="X17" s="226">
        <f t="shared" si="5"/>
        <v>-13810163.306789912</v>
      </c>
      <c r="Y17" s="226">
        <f t="shared" si="5"/>
        <v>-24190877.010857709</v>
      </c>
      <c r="Z17" s="226">
        <f t="shared" si="5"/>
        <v>-16028360.097181417</v>
      </c>
      <c r="AA17" s="226">
        <f t="shared" si="5"/>
        <v>-23324275.002387311</v>
      </c>
      <c r="AB17" s="226">
        <f t="shared" si="5"/>
        <v>-24190877.010857709</v>
      </c>
      <c r="AC17" s="226">
        <f t="shared" si="5"/>
        <v>-23324275.002387311</v>
      </c>
      <c r="AD17" s="226">
        <f t="shared" si="5"/>
        <v>-24190877.010857709</v>
      </c>
      <c r="AE17" s="226">
        <f t="shared" si="5"/>
        <v>-24190877.010857709</v>
      </c>
      <c r="AF17" s="226">
        <f t="shared" si="5"/>
        <v>-21972680.220466204</v>
      </c>
      <c r="AG17" s="226">
        <f t="shared" si="5"/>
        <v>-21972680.220466204</v>
      </c>
      <c r="AH17" s="226">
        <f t="shared" si="5"/>
        <v>-21972680.220466204</v>
      </c>
      <c r="AI17" s="226">
        <f t="shared" si="5"/>
        <v>-24190877.010857709</v>
      </c>
      <c r="AJ17" s="226">
        <f t="shared" si="5"/>
        <v>-24190877.010857709</v>
      </c>
      <c r="AK17" s="226">
        <f t="shared" si="5"/>
        <v>-24190877.010857709</v>
      </c>
      <c r="AL17" s="226">
        <f t="shared" si="5"/>
        <v>-24190877.010857709</v>
      </c>
      <c r="AM17" s="226">
        <f t="shared" si="5"/>
        <v>-24190877.010857709</v>
      </c>
    </row>
    <row r="18" spans="2:40" x14ac:dyDescent="0.2">
      <c r="B18" s="144" t="s">
        <v>109</v>
      </c>
      <c r="C18" s="190">
        <f t="shared" si="0"/>
        <v>-421544188.42357957</v>
      </c>
      <c r="D18" s="192"/>
      <c r="E18" s="145">
        <f>-E77</f>
        <v>0</v>
      </c>
      <c r="F18" s="145">
        <f t="shared" ref="F18:AM18" si="6">-F77</f>
        <v>0</v>
      </c>
      <c r="G18" s="145">
        <f t="shared" si="6"/>
        <v>561157.47763317509</v>
      </c>
      <c r="H18" s="145">
        <f t="shared" si="6"/>
        <v>2467499.3653872702</v>
      </c>
      <c r="I18" s="145">
        <f t="shared" si="6"/>
        <v>1778321.376206072</v>
      </c>
      <c r="J18" s="145">
        <f t="shared" si="6"/>
        <v>-2938736.7479512431</v>
      </c>
      <c r="K18" s="145">
        <f t="shared" si="6"/>
        <v>-7577511.3917880878</v>
      </c>
      <c r="L18" s="145">
        <f t="shared" si="6"/>
        <v>-12430395.559168532</v>
      </c>
      <c r="M18" s="145">
        <f t="shared" si="6"/>
        <v>-14472505.788185216</v>
      </c>
      <c r="N18" s="145">
        <f t="shared" si="6"/>
        <v>-14472505.788185216</v>
      </c>
      <c r="O18" s="145">
        <f t="shared" si="6"/>
        <v>-16310613.184461225</v>
      </c>
      <c r="P18" s="145">
        <f t="shared" si="6"/>
        <v>-16310613.184461225</v>
      </c>
      <c r="Q18" s="145">
        <f t="shared" si="6"/>
        <v>-16310613.184461225</v>
      </c>
      <c r="R18" s="145">
        <f t="shared" si="6"/>
        <v>-16310613.184461225</v>
      </c>
      <c r="S18" s="145">
        <f t="shared" si="6"/>
        <v>-16310613.184461225</v>
      </c>
      <c r="T18" s="145">
        <f t="shared" si="6"/>
        <v>-16310613.184461225</v>
      </c>
      <c r="U18" s="145">
        <f t="shared" si="6"/>
        <v>-16310613.184461225</v>
      </c>
      <c r="V18" s="145">
        <f t="shared" si="6"/>
        <v>-7764569.0502525494</v>
      </c>
      <c r="W18" s="145">
        <f t="shared" si="6"/>
        <v>-13754717.904002246</v>
      </c>
      <c r="X18" s="145">
        <f t="shared" si="6"/>
        <v>-7764569.0502525494</v>
      </c>
      <c r="Y18" s="145">
        <f t="shared" si="6"/>
        <v>-16310613.184461225</v>
      </c>
      <c r="Z18" s="145">
        <f t="shared" si="6"/>
        <v>-9602676.4465285577</v>
      </c>
      <c r="AA18" s="145">
        <f t="shared" si="6"/>
        <v>-15592825.300278258</v>
      </c>
      <c r="AB18" s="145">
        <f t="shared" si="6"/>
        <v>-16310613.184461225</v>
      </c>
      <c r="AC18" s="145">
        <f t="shared" si="6"/>
        <v>-15592825.300278258</v>
      </c>
      <c r="AD18" s="145">
        <f t="shared" si="6"/>
        <v>-16310613.184461225</v>
      </c>
      <c r="AE18" s="145">
        <f t="shared" si="6"/>
        <v>-16310613.184461225</v>
      </c>
      <c r="AF18" s="145">
        <f t="shared" si="6"/>
        <v>-14472505.788185216</v>
      </c>
      <c r="AG18" s="145">
        <f t="shared" si="6"/>
        <v>-14472505.788185216</v>
      </c>
      <c r="AH18" s="145">
        <f t="shared" si="6"/>
        <v>-14472505.788185216</v>
      </c>
      <c r="AI18" s="145">
        <f t="shared" si="6"/>
        <v>-16310613.184461225</v>
      </c>
      <c r="AJ18" s="145">
        <f t="shared" si="6"/>
        <v>-16310613.184461225</v>
      </c>
      <c r="AK18" s="145">
        <f t="shared" si="6"/>
        <v>-16310613.184461225</v>
      </c>
      <c r="AL18" s="145">
        <f t="shared" si="6"/>
        <v>-16310613.184461225</v>
      </c>
      <c r="AM18" s="145">
        <f t="shared" si="6"/>
        <v>-16310613.184461225</v>
      </c>
    </row>
    <row r="19" spans="2:40" x14ac:dyDescent="0.2">
      <c r="B19" s="144" t="s">
        <v>108</v>
      </c>
      <c r="C19" s="190">
        <f t="shared" si="0"/>
        <v>-225907223.69671232</v>
      </c>
      <c r="D19" s="192"/>
      <c r="E19" s="145">
        <f>-E10*'Premissas Adotadas'!$K$24</f>
        <v>0</v>
      </c>
      <c r="F19" s="145">
        <f>-F10*'Premissas Adotadas'!$K$24</f>
        <v>0</v>
      </c>
      <c r="G19" s="145">
        <f>-G10*'Premissas Adotadas'!$K$24</f>
        <v>-227787.24813516054</v>
      </c>
      <c r="H19" s="145">
        <f>-H10*'Premissas Adotadas'!$K$24</f>
        <v>-1074316.4453115456</v>
      </c>
      <c r="I19" s="145">
        <f>-I10*'Premissas Adotadas'!$K$24</f>
        <v>-2181035.7997500487</v>
      </c>
      <c r="J19" s="145">
        <f>-J10*'Premissas Adotadas'!$K$24</f>
        <v>-4515440.6467137737</v>
      </c>
      <c r="K19" s="145">
        <f>-K10*'Premissas Adotadas'!$K$24</f>
        <v>-5944819.6453175731</v>
      </c>
      <c r="L19" s="145">
        <f>-L10*'Premissas Adotadas'!$K$24</f>
        <v>-7047598.6517962096</v>
      </c>
      <c r="M19" s="145">
        <f>-M10*'Premissas Adotadas'!$K$24</f>
        <v>-7500174.4322809875</v>
      </c>
      <c r="N19" s="145">
        <f>-N10*'Premissas Adotadas'!$K$24</f>
        <v>-7500174.4322809875</v>
      </c>
      <c r="O19" s="145">
        <f>-O10*'Premissas Adotadas'!$K$24</f>
        <v>-7880263.8263964849</v>
      </c>
      <c r="P19" s="145">
        <f>-P10*'Premissas Adotadas'!$K$24</f>
        <v>-7880263.8263964849</v>
      </c>
      <c r="Q19" s="145">
        <f>-Q10*'Premissas Adotadas'!$K$24</f>
        <v>-7880263.8263964849</v>
      </c>
      <c r="R19" s="145">
        <f>-R10*'Premissas Adotadas'!$K$24</f>
        <v>-7880263.8263964849</v>
      </c>
      <c r="S19" s="145">
        <f>-S10*'Premissas Adotadas'!$K$24</f>
        <v>-7880263.8263964849</v>
      </c>
      <c r="T19" s="145">
        <f>-T10*'Premissas Adotadas'!$K$24</f>
        <v>-7880263.8263964849</v>
      </c>
      <c r="U19" s="145">
        <f>-U10*'Premissas Adotadas'!$K$24</f>
        <v>-7880263.8263964849</v>
      </c>
      <c r="V19" s="145">
        <f>-V10*'Premissas Adotadas'!$K$24</f>
        <v>-6045594.2565373629</v>
      </c>
      <c r="W19" s="145">
        <f>-W10*'Premissas Adotadas'!$K$24</f>
        <v>-7351360.3079935554</v>
      </c>
      <c r="X19" s="145">
        <f>-X10*'Premissas Adotadas'!$K$24</f>
        <v>-6045594.2565373629</v>
      </c>
      <c r="Y19" s="145">
        <f>-Y10*'Premissas Adotadas'!$K$24</f>
        <v>-7880263.8263964849</v>
      </c>
      <c r="Z19" s="145">
        <f>-Z10*'Premissas Adotadas'!$K$24</f>
        <v>-6425683.6506528603</v>
      </c>
      <c r="AA19" s="145">
        <f>-AA10*'Premissas Adotadas'!$K$24</f>
        <v>-7731449.7021090528</v>
      </c>
      <c r="AB19" s="145">
        <f>-AB10*'Premissas Adotadas'!$K$24</f>
        <v>-7880263.8263964849</v>
      </c>
      <c r="AC19" s="145">
        <f>-AC10*'Premissas Adotadas'!$K$24</f>
        <v>-7731449.7021090528</v>
      </c>
      <c r="AD19" s="145">
        <f>-AD10*'Premissas Adotadas'!$K$24</f>
        <v>-7880263.8263964849</v>
      </c>
      <c r="AE19" s="145">
        <f>-AE10*'Premissas Adotadas'!$K$24</f>
        <v>-7880263.8263964849</v>
      </c>
      <c r="AF19" s="145">
        <f>-AF10*'Premissas Adotadas'!$K$24</f>
        <v>-7500174.4322809875</v>
      </c>
      <c r="AG19" s="145">
        <f>-AG10*'Premissas Adotadas'!$K$24</f>
        <v>-7500174.4322809875</v>
      </c>
      <c r="AH19" s="145">
        <f>-AH10*'Premissas Adotadas'!$K$24</f>
        <v>-7500174.4322809875</v>
      </c>
      <c r="AI19" s="145">
        <f>-AI10*'Premissas Adotadas'!$K$24</f>
        <v>-7880263.8263964849</v>
      </c>
      <c r="AJ19" s="145">
        <f>-AJ10*'Premissas Adotadas'!$K$24</f>
        <v>-7880263.8263964849</v>
      </c>
      <c r="AK19" s="145">
        <f>-AK10*'Premissas Adotadas'!$K$24</f>
        <v>-7880263.8263964849</v>
      </c>
      <c r="AL19" s="145">
        <f>-AL10*'Premissas Adotadas'!$K$24</f>
        <v>-7880263.8263964849</v>
      </c>
      <c r="AM19" s="145">
        <f>-AM10*'Premissas Adotadas'!$K$24</f>
        <v>-7880263.8263964849</v>
      </c>
    </row>
    <row r="20" spans="2:40" x14ac:dyDescent="0.2">
      <c r="B20" s="224" t="s">
        <v>139</v>
      </c>
      <c r="C20" s="225">
        <f t="shared" si="0"/>
        <v>10372413158.451036</v>
      </c>
      <c r="D20" s="220"/>
      <c r="E20" s="226">
        <f t="shared" ref="E20:AM20" si="7">E10+E17</f>
        <v>0</v>
      </c>
      <c r="F20" s="226">
        <f t="shared" si="7"/>
        <v>0</v>
      </c>
      <c r="G20" s="226">
        <f t="shared" si="7"/>
        <v>11444943.309261942</v>
      </c>
      <c r="H20" s="226">
        <f t="shared" si="7"/>
        <v>53798863.179175504</v>
      </c>
      <c r="I20" s="226">
        <f t="shared" si="7"/>
        <v>105989275.80816571</v>
      </c>
      <c r="J20" s="226">
        <f t="shared" si="7"/>
        <v>212811220.00600687</v>
      </c>
      <c r="K20" s="226">
        <f t="shared" si="7"/>
        <v>276468871.17350763</v>
      </c>
      <c r="L20" s="226">
        <f t="shared" si="7"/>
        <v>324307305.87665522</v>
      </c>
      <c r="M20" s="226">
        <f t="shared" si="7"/>
        <v>343889487.20787466</v>
      </c>
      <c r="N20" s="226">
        <f t="shared" si="7"/>
        <v>343889487.20787466</v>
      </c>
      <c r="O20" s="226">
        <f t="shared" si="7"/>
        <v>360212236.47189766</v>
      </c>
      <c r="P20" s="226">
        <f t="shared" si="7"/>
        <v>360212236.47189766</v>
      </c>
      <c r="Q20" s="226">
        <f t="shared" si="7"/>
        <v>360212236.47189766</v>
      </c>
      <c r="R20" s="226">
        <f t="shared" si="7"/>
        <v>360212236.47189766</v>
      </c>
      <c r="S20" s="226">
        <f t="shared" si="7"/>
        <v>360212236.47189766</v>
      </c>
      <c r="T20" s="226">
        <f t="shared" si="7"/>
        <v>360212236.47189766</v>
      </c>
      <c r="U20" s="226">
        <f t="shared" si="7"/>
        <v>360212236.47189766</v>
      </c>
      <c r="V20" s="226">
        <f t="shared" si="7"/>
        <v>281096873.59747165</v>
      </c>
      <c r="W20" s="226">
        <f t="shared" si="7"/>
        <v>337496863.64134836</v>
      </c>
      <c r="X20" s="226">
        <f t="shared" si="7"/>
        <v>281096873.59747165</v>
      </c>
      <c r="Y20" s="226">
        <f t="shared" si="7"/>
        <v>360212236.47189766</v>
      </c>
      <c r="Z20" s="226">
        <f t="shared" si="7"/>
        <v>297419622.86149466</v>
      </c>
      <c r="AA20" s="226">
        <f t="shared" si="7"/>
        <v>353819612.90537137</v>
      </c>
      <c r="AB20" s="226">
        <f t="shared" si="7"/>
        <v>360212236.47189766</v>
      </c>
      <c r="AC20" s="226">
        <f t="shared" si="7"/>
        <v>353819612.90537137</v>
      </c>
      <c r="AD20" s="226">
        <f t="shared" si="7"/>
        <v>360212236.47189766</v>
      </c>
      <c r="AE20" s="226">
        <f t="shared" si="7"/>
        <v>360212236.47189766</v>
      </c>
      <c r="AF20" s="226">
        <f t="shared" si="7"/>
        <v>343889487.20787466</v>
      </c>
      <c r="AG20" s="226">
        <f t="shared" si="7"/>
        <v>343889487.20787466</v>
      </c>
      <c r="AH20" s="226">
        <f t="shared" si="7"/>
        <v>343889487.20787466</v>
      </c>
      <c r="AI20" s="226">
        <f t="shared" si="7"/>
        <v>360212236.47189766</v>
      </c>
      <c r="AJ20" s="226">
        <f t="shared" si="7"/>
        <v>360212236.47189766</v>
      </c>
      <c r="AK20" s="226">
        <f t="shared" si="7"/>
        <v>360212236.47189766</v>
      </c>
      <c r="AL20" s="226">
        <f t="shared" si="7"/>
        <v>360212236.47189766</v>
      </c>
      <c r="AM20" s="226">
        <f t="shared" si="7"/>
        <v>360212236.47189766</v>
      </c>
    </row>
    <row r="21" spans="2:40" ht="5.25" customHeight="1" x14ac:dyDescent="0.2">
      <c r="D21" s="181"/>
    </row>
    <row r="22" spans="2:40" x14ac:dyDescent="0.2">
      <c r="B22" s="224" t="s">
        <v>140</v>
      </c>
      <c r="C22" s="225">
        <f t="shared" ref="C22:C37" si="8">SUM(E22:AM22)</f>
        <v>-7065447830.0982132</v>
      </c>
      <c r="D22" s="220"/>
      <c r="E22" s="226">
        <f>SUM(E23:E35)</f>
        <v>-16347023.145833613</v>
      </c>
      <c r="F22" s="226">
        <f t="shared" ref="F22:AM22" si="9">SUM(F23:F35)</f>
        <v>-2841534.7587562092</v>
      </c>
      <c r="G22" s="226">
        <f t="shared" si="9"/>
        <v>-21818428.425764885</v>
      </c>
      <c r="H22" s="226">
        <f t="shared" si="9"/>
        <v>-89942425.4847949</v>
      </c>
      <c r="I22" s="226">
        <f t="shared" si="9"/>
        <v>-139874975.36393264</v>
      </c>
      <c r="J22" s="226">
        <f t="shared" si="9"/>
        <v>-208293256.68120101</v>
      </c>
      <c r="K22" s="226">
        <f t="shared" si="9"/>
        <v>-231556443.90128374</v>
      </c>
      <c r="L22" s="226">
        <f t="shared" si="9"/>
        <v>-231289611.89276603</v>
      </c>
      <c r="M22" s="226">
        <f t="shared" si="9"/>
        <v>-231333765.62744749</v>
      </c>
      <c r="N22" s="226">
        <f t="shared" si="9"/>
        <v>-231333765.62744749</v>
      </c>
      <c r="O22" s="226">
        <f t="shared" si="9"/>
        <v>-225892862.26287884</v>
      </c>
      <c r="P22" s="226">
        <f t="shared" si="9"/>
        <v>-225896028.46158201</v>
      </c>
      <c r="Q22" s="226">
        <f t="shared" si="9"/>
        <v>-225892862.26287884</v>
      </c>
      <c r="R22" s="226">
        <f t="shared" si="9"/>
        <v>-225892862.26287884</v>
      </c>
      <c r="S22" s="226">
        <f t="shared" si="9"/>
        <v>-225892862.26287884</v>
      </c>
      <c r="T22" s="226">
        <f t="shared" si="9"/>
        <v>-225892862.26287884</v>
      </c>
      <c r="U22" s="226">
        <f t="shared" si="9"/>
        <v>-225892862.26287884</v>
      </c>
      <c r="V22" s="226">
        <f t="shared" si="9"/>
        <v>-228610626.0457007</v>
      </c>
      <c r="W22" s="226">
        <f t="shared" si="9"/>
        <v>-227672390.61949503</v>
      </c>
      <c r="X22" s="226">
        <f t="shared" si="9"/>
        <v>-228607459.84699753</v>
      </c>
      <c r="Y22" s="226">
        <f t="shared" si="9"/>
        <v>-225892862.26287884</v>
      </c>
      <c r="Z22" s="226">
        <f t="shared" si="9"/>
        <v>-227314056.48242888</v>
      </c>
      <c r="AA22" s="226">
        <f t="shared" si="9"/>
        <v>-226378987.25492638</v>
      </c>
      <c r="AB22" s="226">
        <f t="shared" si="9"/>
        <v>-225896028.46158201</v>
      </c>
      <c r="AC22" s="226">
        <f t="shared" si="9"/>
        <v>-226378987.25492638</v>
      </c>
      <c r="AD22" s="226">
        <f t="shared" si="9"/>
        <v>-225892862.26287884</v>
      </c>
      <c r="AE22" s="226">
        <f t="shared" si="9"/>
        <v>-225892862.26287884</v>
      </c>
      <c r="AF22" s="226">
        <f t="shared" si="9"/>
        <v>-227186265.62744749</v>
      </c>
      <c r="AG22" s="226">
        <f t="shared" si="9"/>
        <v>-227186265.62744749</v>
      </c>
      <c r="AH22" s="226">
        <f t="shared" si="9"/>
        <v>-227189431.82615066</v>
      </c>
      <c r="AI22" s="226">
        <f t="shared" si="9"/>
        <v>-225892862.26287884</v>
      </c>
      <c r="AJ22" s="226">
        <f t="shared" si="9"/>
        <v>-225892862.26287884</v>
      </c>
      <c r="AK22" s="226">
        <f t="shared" si="9"/>
        <v>-225892862.26287884</v>
      </c>
      <c r="AL22" s="226">
        <f t="shared" si="9"/>
        <v>-225892862.26287884</v>
      </c>
      <c r="AM22" s="226">
        <f t="shared" si="9"/>
        <v>-225892862.26287884</v>
      </c>
    </row>
    <row r="23" spans="2:40" x14ac:dyDescent="0.2">
      <c r="B23" s="144" t="s">
        <v>110</v>
      </c>
      <c r="C23" s="190">
        <f t="shared" si="8"/>
        <v>-393778637.42237353</v>
      </c>
      <c r="D23" s="192"/>
      <c r="E23" s="145">
        <f>-'Cronograma de Implantação'!C22*'Premissas Adotadas'!$G$17*'Premissas Adotadas'!$G$34</f>
        <v>0</v>
      </c>
      <c r="F23" s="145">
        <f>-'Cronograma de Implantação'!D22*'Premissas Adotadas'!$G$17*'Premissas Adotadas'!$G$34</f>
        <v>0</v>
      </c>
      <c r="G23" s="145">
        <f>-'Cronograma de Implantação'!E22*'Premissas Adotadas'!$G$17*'Premissas Adotadas'!$G$34</f>
        <v>-1049642.6402515583</v>
      </c>
      <c r="H23" s="145">
        <f>-'Cronograma de Implantação'!F22*'Premissas Adotadas'!$G$17*'Premissas Adotadas'!$G$34</f>
        <v>-4832138.6411580741</v>
      </c>
      <c r="I23" s="145">
        <f>-'Cronograma de Implantação'!G22*'Premissas Adotadas'!$G$17*'Premissas Adotadas'!$G$34</f>
        <v>-7675630.0098395469</v>
      </c>
      <c r="J23" s="145">
        <f>-'Cronograma de Implantação'!H22*'Premissas Adotadas'!$G$17*'Premissas Adotadas'!$G$34</f>
        <v>-11517700.32276034</v>
      </c>
      <c r="K23" s="145">
        <f>-'Cronograma de Implantação'!I22*'Premissas Adotadas'!$G$17*'Premissas Adotadas'!$G$34</f>
        <v>-12713914.683047026</v>
      </c>
      <c r="L23" s="145">
        <f>-'Cronograma de Implantação'!J22*'Premissas Adotadas'!$G$17*'Premissas Adotadas'!$G$34</f>
        <v>-12713914.683047026</v>
      </c>
      <c r="M23" s="145">
        <f>-'Cronograma de Implantação'!K22*'Premissas Adotadas'!$G$17*'Premissas Adotadas'!$G$34</f>
        <v>-12713914.683047026</v>
      </c>
      <c r="N23" s="145">
        <f>-'Cronograma de Implantação'!L22*'Premissas Adotadas'!$G$17*'Premissas Adotadas'!$G$34</f>
        <v>-12713914.683047026</v>
      </c>
      <c r="O23" s="145">
        <f>-'Cronograma de Implantação'!M22*'Premissas Adotadas'!$G$17*'Premissas Adotadas'!$G$34</f>
        <v>-12713914.683047026</v>
      </c>
      <c r="P23" s="145">
        <f>-'Cronograma de Implantação'!N22*'Premissas Adotadas'!$G$17*'Premissas Adotadas'!$G$34</f>
        <v>-12713914.683047026</v>
      </c>
      <c r="Q23" s="145">
        <f>-'Cronograma de Implantação'!O22*'Premissas Adotadas'!$G$17*'Premissas Adotadas'!$G$34</f>
        <v>-12713914.683047026</v>
      </c>
      <c r="R23" s="145">
        <f>-'Cronograma de Implantação'!P22*'Premissas Adotadas'!$G$17*'Premissas Adotadas'!$G$34</f>
        <v>-12713914.683047026</v>
      </c>
      <c r="S23" s="145">
        <f>-'Cronograma de Implantação'!Q22*'Premissas Adotadas'!$G$17*'Premissas Adotadas'!$G$34</f>
        <v>-12713914.683047026</v>
      </c>
      <c r="T23" s="145">
        <f>-'Cronograma de Implantação'!R22*'Premissas Adotadas'!$G$17*'Premissas Adotadas'!$G$34</f>
        <v>-12713914.683047026</v>
      </c>
      <c r="U23" s="145">
        <f>-'Cronograma de Implantação'!S22*'Premissas Adotadas'!$G$17*'Premissas Adotadas'!$G$34</f>
        <v>-12713914.683047026</v>
      </c>
      <c r="V23" s="145">
        <f>-'Cronograma de Implantação'!T22*'Premissas Adotadas'!$G$17*'Premissas Adotadas'!$G$34</f>
        <v>-12713914.683047026</v>
      </c>
      <c r="W23" s="145">
        <f>-'Cronograma de Implantação'!U22*'Premissas Adotadas'!$G$17*'Premissas Adotadas'!$G$34</f>
        <v>-12713914.683047026</v>
      </c>
      <c r="X23" s="145">
        <f>-'Cronograma de Implantação'!V22*'Premissas Adotadas'!$G$17*'Premissas Adotadas'!$G$34</f>
        <v>-12713914.683047026</v>
      </c>
      <c r="Y23" s="145">
        <f>-'Cronograma de Implantação'!W22*'Premissas Adotadas'!$G$17*'Premissas Adotadas'!$G$34</f>
        <v>-12713914.683047026</v>
      </c>
      <c r="Z23" s="145">
        <f>-'Cronograma de Implantação'!X22*'Premissas Adotadas'!$G$17*'Premissas Adotadas'!$G$34</f>
        <v>-12713914.683047026</v>
      </c>
      <c r="AA23" s="145">
        <f>-'Cronograma de Implantação'!Y22*'Premissas Adotadas'!$G$17*'Premissas Adotadas'!$G$34</f>
        <v>-12713914.683047026</v>
      </c>
      <c r="AB23" s="145">
        <f>-'Cronograma de Implantação'!Z22*'Premissas Adotadas'!$G$17*'Premissas Adotadas'!$G$34</f>
        <v>-12713914.683047026</v>
      </c>
      <c r="AC23" s="145">
        <f>-'Cronograma de Implantação'!AA22*'Premissas Adotadas'!$G$17*'Premissas Adotadas'!$G$34</f>
        <v>-12713914.683047026</v>
      </c>
      <c r="AD23" s="145">
        <f>-'Cronograma de Implantação'!AB22*'Premissas Adotadas'!$G$17*'Premissas Adotadas'!$G$34</f>
        <v>-12713914.683047026</v>
      </c>
      <c r="AE23" s="145">
        <f>-'Cronograma de Implantação'!AC22*'Premissas Adotadas'!$G$17*'Premissas Adotadas'!$G$34</f>
        <v>-12713914.683047026</v>
      </c>
      <c r="AF23" s="145">
        <f>-'Cronograma de Implantação'!AD22*'Premissas Adotadas'!$G$17*'Premissas Adotadas'!$G$34</f>
        <v>-12713914.683047026</v>
      </c>
      <c r="AG23" s="145">
        <f>-'Cronograma de Implantação'!AE22*'Premissas Adotadas'!$G$17*'Premissas Adotadas'!$G$34</f>
        <v>-12713914.683047026</v>
      </c>
      <c r="AH23" s="145">
        <f>-'Cronograma de Implantação'!AF22*'Premissas Adotadas'!$G$17*'Premissas Adotadas'!$G$34</f>
        <v>-12713914.683047026</v>
      </c>
      <c r="AI23" s="145">
        <f>-'Cronograma de Implantação'!AG22*'Premissas Adotadas'!$G$17*'Premissas Adotadas'!$G$34</f>
        <v>-12713914.683047026</v>
      </c>
      <c r="AJ23" s="145">
        <f>-'Cronograma de Implantação'!AH22*'Premissas Adotadas'!$G$17*'Premissas Adotadas'!$G$34</f>
        <v>-12713914.683047026</v>
      </c>
      <c r="AK23" s="145">
        <f>-'Cronograma de Implantação'!AI22*'Premissas Adotadas'!$G$17*'Premissas Adotadas'!$G$34</f>
        <v>-12713914.683047026</v>
      </c>
      <c r="AL23" s="145">
        <f>-'Cronograma de Implantação'!AJ22*'Premissas Adotadas'!$G$17*'Premissas Adotadas'!$G$34</f>
        <v>-12713914.683047026</v>
      </c>
      <c r="AM23" s="145">
        <f>-'Cronograma de Implantação'!AK22*'Premissas Adotadas'!$G$17*'Premissas Adotadas'!$G$34</f>
        <v>-12713914.683047026</v>
      </c>
    </row>
    <row r="24" spans="2:40" x14ac:dyDescent="0.2">
      <c r="B24" s="144" t="s">
        <v>111</v>
      </c>
      <c r="C24" s="190">
        <f t="shared" si="8"/>
        <v>-465254957.96987498</v>
      </c>
      <c r="D24" s="192"/>
      <c r="E24" s="145">
        <f>-'Cronograma de Implantação'!C26*'Premissas Adotadas'!$G$18*'Premissas Adotadas'!$G$35</f>
        <v>0</v>
      </c>
      <c r="F24" s="145">
        <f>-'Cronograma de Implantação'!D26*'Premissas Adotadas'!$G$18*'Premissas Adotadas'!$G$35</f>
        <v>0</v>
      </c>
      <c r="G24" s="145">
        <f>-'Cronograma de Implantação'!E26*'Premissas Adotadas'!$G$18*'Premissas Adotadas'!$G$35</f>
        <v>-1240167.4343491972</v>
      </c>
      <c r="H24" s="145">
        <f>-'Cronograma de Implantação'!F26*'Premissas Adotadas'!$G$18*'Premissas Adotadas'!$G$35</f>
        <v>-5709239.2698418004</v>
      </c>
      <c r="I24" s="145">
        <f>-'Cronograma de Implantação'!G26*'Premissas Adotadas'!$G$18*'Premissas Adotadas'!$G$35</f>
        <v>-9068864.0221733637</v>
      </c>
      <c r="J24" s="145">
        <f>-'Cronograma de Implantação'!H26*'Premissas Adotadas'!$G$18*'Premissas Adotadas'!$G$35</f>
        <v>-13608323.739074975</v>
      </c>
      <c r="K24" s="145">
        <f>-'Cronograma de Implantação'!I26*'Premissas Adotadas'!$G$18*'Premissas Adotadas'!$G$35</f>
        <v>-15021667.707049511</v>
      </c>
      <c r="L24" s="145">
        <f>-'Cronograma de Implantação'!J26*'Premissas Adotadas'!$G$18*'Premissas Adotadas'!$G$35</f>
        <v>-15021667.707049511</v>
      </c>
      <c r="M24" s="145">
        <f>-'Cronograma de Implantação'!K26*'Premissas Adotadas'!$G$18*'Premissas Adotadas'!$G$35</f>
        <v>-15021667.707049511</v>
      </c>
      <c r="N24" s="145">
        <f>-'Cronograma de Implantação'!L26*'Premissas Adotadas'!$G$18*'Premissas Adotadas'!$G$35</f>
        <v>-15021667.707049511</v>
      </c>
      <c r="O24" s="145">
        <f>-'Cronograma de Implantação'!M26*'Premissas Adotadas'!$G$18*'Premissas Adotadas'!$G$35</f>
        <v>-15021667.707049511</v>
      </c>
      <c r="P24" s="145">
        <f>-'Cronograma de Implantação'!N26*'Premissas Adotadas'!$G$18*'Premissas Adotadas'!$G$35</f>
        <v>-15021667.707049511</v>
      </c>
      <c r="Q24" s="145">
        <f>-'Cronograma de Implantação'!O26*'Premissas Adotadas'!$G$18*'Premissas Adotadas'!$G$35</f>
        <v>-15021667.707049511</v>
      </c>
      <c r="R24" s="145">
        <f>-'Cronograma de Implantação'!P26*'Premissas Adotadas'!$G$18*'Premissas Adotadas'!$G$35</f>
        <v>-15021667.707049511</v>
      </c>
      <c r="S24" s="145">
        <f>-'Cronograma de Implantação'!Q26*'Premissas Adotadas'!$G$18*'Premissas Adotadas'!$G$35</f>
        <v>-15021667.707049511</v>
      </c>
      <c r="T24" s="145">
        <f>-'Cronograma de Implantação'!R26*'Premissas Adotadas'!$G$18*'Premissas Adotadas'!$G$35</f>
        <v>-15021667.707049511</v>
      </c>
      <c r="U24" s="145">
        <f>-'Cronograma de Implantação'!S26*'Premissas Adotadas'!$G$18*'Premissas Adotadas'!$G$35</f>
        <v>-15021667.707049511</v>
      </c>
      <c r="V24" s="145">
        <f>-'Cronograma de Implantação'!T26*'Premissas Adotadas'!$G$18*'Premissas Adotadas'!$G$35</f>
        <v>-15021667.707049511</v>
      </c>
      <c r="W24" s="145">
        <f>-'Cronograma de Implantação'!U26*'Premissas Adotadas'!$G$18*'Premissas Adotadas'!$G$35</f>
        <v>-15021667.707049511</v>
      </c>
      <c r="X24" s="145">
        <f>-'Cronograma de Implantação'!V26*'Premissas Adotadas'!$G$18*'Premissas Adotadas'!$G$35</f>
        <v>-15021667.707049511</v>
      </c>
      <c r="Y24" s="145">
        <f>-'Cronograma de Implantação'!W26*'Premissas Adotadas'!$G$18*'Premissas Adotadas'!$G$35</f>
        <v>-15021667.707049511</v>
      </c>
      <c r="Z24" s="145">
        <f>-'Cronograma de Implantação'!X26*'Premissas Adotadas'!$G$18*'Premissas Adotadas'!$G$35</f>
        <v>-15021667.707049511</v>
      </c>
      <c r="AA24" s="145">
        <f>-'Cronograma de Implantação'!Y26*'Premissas Adotadas'!$G$18*'Premissas Adotadas'!$G$35</f>
        <v>-15021667.707049511</v>
      </c>
      <c r="AB24" s="145">
        <f>-'Cronograma de Implantação'!Z26*'Premissas Adotadas'!$G$18*'Premissas Adotadas'!$G$35</f>
        <v>-15021667.707049511</v>
      </c>
      <c r="AC24" s="145">
        <f>-'Cronograma de Implantação'!AA26*'Premissas Adotadas'!$G$18*'Premissas Adotadas'!$G$35</f>
        <v>-15021667.707049511</v>
      </c>
      <c r="AD24" s="145">
        <f>-'Cronograma de Implantação'!AB26*'Premissas Adotadas'!$G$18*'Premissas Adotadas'!$G$35</f>
        <v>-15021667.707049511</v>
      </c>
      <c r="AE24" s="145">
        <f>-'Cronograma de Implantação'!AC26*'Premissas Adotadas'!$G$18*'Premissas Adotadas'!$G$35</f>
        <v>-15021667.707049511</v>
      </c>
      <c r="AF24" s="145">
        <f>-'Cronograma de Implantação'!AD26*'Premissas Adotadas'!$G$18*'Premissas Adotadas'!$G$35</f>
        <v>-15021667.707049511</v>
      </c>
      <c r="AG24" s="145">
        <f>-'Cronograma de Implantação'!AE26*'Premissas Adotadas'!$G$18*'Premissas Adotadas'!$G$35</f>
        <v>-15021667.707049511</v>
      </c>
      <c r="AH24" s="145">
        <f>-'Cronograma de Implantação'!AF26*'Premissas Adotadas'!$G$18*'Premissas Adotadas'!$G$35</f>
        <v>-15021667.707049511</v>
      </c>
      <c r="AI24" s="145">
        <f>-'Cronograma de Implantação'!AG26*'Premissas Adotadas'!$G$18*'Premissas Adotadas'!$G$35</f>
        <v>-15021667.707049511</v>
      </c>
      <c r="AJ24" s="145">
        <f>-'Cronograma de Implantação'!AH26*'Premissas Adotadas'!$G$18*'Premissas Adotadas'!$G$35</f>
        <v>-15021667.707049511</v>
      </c>
      <c r="AK24" s="145">
        <f>-'Cronograma de Implantação'!AI26*'Premissas Adotadas'!$G$18*'Premissas Adotadas'!$G$35</f>
        <v>-15021667.707049511</v>
      </c>
      <c r="AL24" s="145">
        <f>-'Cronograma de Implantação'!AJ26*'Premissas Adotadas'!$G$18*'Premissas Adotadas'!$G$35</f>
        <v>-15021667.707049511</v>
      </c>
      <c r="AM24" s="145">
        <f>-'Cronograma de Implantação'!AK26*'Premissas Adotadas'!$G$18*'Premissas Adotadas'!$G$35</f>
        <v>-15021667.707049511</v>
      </c>
    </row>
    <row r="25" spans="2:40" x14ac:dyDescent="0.2">
      <c r="B25" s="144" t="s">
        <v>112</v>
      </c>
      <c r="C25" s="190">
        <f t="shared" si="8"/>
        <v>-1189847365.3398988</v>
      </c>
      <c r="D25" s="192"/>
      <c r="E25" s="145">
        <f>-'Cronograma de Implantação'!C30*'Premissas Adotadas'!$G$19*'Premissas Adotadas'!$G$36</f>
        <v>0</v>
      </c>
      <c r="F25" s="145">
        <f>-'Cronograma de Implantação'!D30*'Premissas Adotadas'!$G$19*'Premissas Adotadas'!$G$36</f>
        <v>0</v>
      </c>
      <c r="G25" s="145">
        <f>-'Cronograma de Implantação'!E30*'Premissas Adotadas'!$G$19*'Premissas Adotadas'!$G$36</f>
        <v>-3171615.7540362617</v>
      </c>
      <c r="H25" s="145">
        <f>-'Cronograma de Implantação'!F30*'Premissas Adotadas'!$G$19*'Premissas Adotadas'!$G$36</f>
        <v>-14600861.714527294</v>
      </c>
      <c r="I25" s="145">
        <f>-'Cronograma de Implantação'!G30*'Premissas Adotadas'!$G$19*'Premissas Adotadas'!$G$36</f>
        <v>-23192797.365326427</v>
      </c>
      <c r="J25" s="145">
        <f>-'Cronograma de Implantação'!H30*'Premissas Adotadas'!$G$19*'Premissas Adotadas'!$G$36</f>
        <v>-34802053.949695192</v>
      </c>
      <c r="K25" s="145">
        <f>-'Cronograma de Implantação'!I30*'Premissas Adotadas'!$G$19*'Premissas Adotadas'!$G$36</f>
        <v>-38416552.984700486</v>
      </c>
      <c r="L25" s="145">
        <f>-'Cronograma de Implantação'!J30*'Premissas Adotadas'!$G$19*'Premissas Adotadas'!$G$36</f>
        <v>-38416552.984700486</v>
      </c>
      <c r="M25" s="145">
        <f>-'Cronograma de Implantação'!K30*'Premissas Adotadas'!$G$19*'Premissas Adotadas'!$G$36</f>
        <v>-38416552.984700486</v>
      </c>
      <c r="N25" s="145">
        <f>-'Cronograma de Implantação'!L30*'Premissas Adotadas'!$G$19*'Premissas Adotadas'!$G$36</f>
        <v>-38416552.984700486</v>
      </c>
      <c r="O25" s="145">
        <f>-'Cronograma de Implantação'!M30*'Premissas Adotadas'!$G$19*'Premissas Adotadas'!$G$36</f>
        <v>-38416552.984700486</v>
      </c>
      <c r="P25" s="145">
        <f>-'Cronograma de Implantação'!N30*'Premissas Adotadas'!$G$19*'Premissas Adotadas'!$G$36</f>
        <v>-38416552.984700486</v>
      </c>
      <c r="Q25" s="145">
        <f>-'Cronograma de Implantação'!O30*'Premissas Adotadas'!$G$19*'Premissas Adotadas'!$G$36</f>
        <v>-38416552.984700486</v>
      </c>
      <c r="R25" s="145">
        <f>-'Cronograma de Implantação'!P30*'Premissas Adotadas'!$G$19*'Premissas Adotadas'!$G$36</f>
        <v>-38416552.984700486</v>
      </c>
      <c r="S25" s="145">
        <f>-'Cronograma de Implantação'!Q30*'Premissas Adotadas'!$G$19*'Premissas Adotadas'!$G$36</f>
        <v>-38416552.984700486</v>
      </c>
      <c r="T25" s="145">
        <f>-'Cronograma de Implantação'!R30*'Premissas Adotadas'!$G$19*'Premissas Adotadas'!$G$36</f>
        <v>-38416552.984700486</v>
      </c>
      <c r="U25" s="145">
        <f>-'Cronograma de Implantação'!S30*'Premissas Adotadas'!$G$19*'Premissas Adotadas'!$G$36</f>
        <v>-38416552.984700486</v>
      </c>
      <c r="V25" s="145">
        <f>-'Cronograma de Implantação'!T30*'Premissas Adotadas'!$G$19*'Premissas Adotadas'!$G$36</f>
        <v>-38416552.984700486</v>
      </c>
      <c r="W25" s="145">
        <f>-'Cronograma de Implantação'!U30*'Premissas Adotadas'!$G$19*'Premissas Adotadas'!$G$36</f>
        <v>-38416552.984700486</v>
      </c>
      <c r="X25" s="145">
        <f>-'Cronograma de Implantação'!V30*'Premissas Adotadas'!$G$19*'Premissas Adotadas'!$G$36</f>
        <v>-38416552.984700486</v>
      </c>
      <c r="Y25" s="145">
        <f>-'Cronograma de Implantação'!W30*'Premissas Adotadas'!$G$19*'Premissas Adotadas'!$G$36</f>
        <v>-38416552.984700486</v>
      </c>
      <c r="Z25" s="145">
        <f>-'Cronograma de Implantação'!X30*'Premissas Adotadas'!$G$19*'Premissas Adotadas'!$G$36</f>
        <v>-38416552.984700486</v>
      </c>
      <c r="AA25" s="145">
        <f>-'Cronograma de Implantação'!Y30*'Premissas Adotadas'!$G$19*'Premissas Adotadas'!$G$36</f>
        <v>-38416552.984700486</v>
      </c>
      <c r="AB25" s="145">
        <f>-'Cronograma de Implantação'!Z30*'Premissas Adotadas'!$G$19*'Premissas Adotadas'!$G$36</f>
        <v>-38416552.984700486</v>
      </c>
      <c r="AC25" s="145">
        <f>-'Cronograma de Implantação'!AA30*'Premissas Adotadas'!$G$19*'Premissas Adotadas'!$G$36</f>
        <v>-38416552.984700486</v>
      </c>
      <c r="AD25" s="145">
        <f>-'Cronograma de Implantação'!AB30*'Premissas Adotadas'!$G$19*'Premissas Adotadas'!$G$36</f>
        <v>-38416552.984700486</v>
      </c>
      <c r="AE25" s="145">
        <f>-'Cronograma de Implantação'!AC30*'Premissas Adotadas'!$G$19*'Premissas Adotadas'!$G$36</f>
        <v>-38416552.984700486</v>
      </c>
      <c r="AF25" s="145">
        <f>-'Cronograma de Implantação'!AD30*'Premissas Adotadas'!$G$19*'Premissas Adotadas'!$G$36</f>
        <v>-38416552.984700486</v>
      </c>
      <c r="AG25" s="145">
        <f>-'Cronograma de Implantação'!AE30*'Premissas Adotadas'!$G$19*'Premissas Adotadas'!$G$36</f>
        <v>-38416552.984700486</v>
      </c>
      <c r="AH25" s="145">
        <f>-'Cronograma de Implantação'!AF30*'Premissas Adotadas'!$G$19*'Premissas Adotadas'!$G$36</f>
        <v>-38416552.984700486</v>
      </c>
      <c r="AI25" s="145">
        <f>-'Cronograma de Implantação'!AG30*'Premissas Adotadas'!$G$19*'Premissas Adotadas'!$G$36</f>
        <v>-38416552.984700486</v>
      </c>
      <c r="AJ25" s="145">
        <f>-'Cronograma de Implantação'!AH30*'Premissas Adotadas'!$G$19*'Premissas Adotadas'!$G$36</f>
        <v>-38416552.984700486</v>
      </c>
      <c r="AK25" s="145">
        <f>-'Cronograma de Implantação'!AI30*'Premissas Adotadas'!$G$19*'Premissas Adotadas'!$G$36</f>
        <v>-38416552.984700486</v>
      </c>
      <c r="AL25" s="145">
        <f>-'Cronograma de Implantação'!AJ30*'Premissas Adotadas'!$G$19*'Premissas Adotadas'!$G$36</f>
        <v>-38416552.984700486</v>
      </c>
      <c r="AM25" s="145">
        <f>-'Cronograma de Implantação'!AK30*'Premissas Adotadas'!$G$19*'Premissas Adotadas'!$G$36</f>
        <v>-38416552.984700486</v>
      </c>
    </row>
    <row r="26" spans="2:40" x14ac:dyDescent="0.2">
      <c r="B26" s="144" t="s">
        <v>224</v>
      </c>
      <c r="C26" s="190">
        <f t="shared" ref="C26" si="10">SUM(E26:AM26)</f>
        <v>-3642070402.4635577</v>
      </c>
      <c r="D26" s="192"/>
      <c r="E26" s="145">
        <f>-'Cronograma de Implantação'!C38*'Premissas Adotadas'!$G$38-'Cronograma de Implantação'!C50*'Premissas Adotadas'!$D$50</f>
        <v>0</v>
      </c>
      <c r="F26" s="145">
        <f>-'Cronograma de Implantação'!D38*'Premissas Adotadas'!$G$38-'Cronograma de Implantação'!D50*'Premissas Adotadas'!$D$50</f>
        <v>0</v>
      </c>
      <c r="G26" s="145">
        <f>-'Cronograma de Implantação'!E38*'Premissas Adotadas'!$G$38-'Cronograma de Implantação'!E50*'Premissas Adotadas'!$D$50</f>
        <v>-9695676.5224079303</v>
      </c>
      <c r="H26" s="145">
        <f>-'Cronograma de Implantação'!F38*'Premissas Adotadas'!$G$38-'Cronograma de Implantação'!F50*'Premissas Adotadas'!$D$50</f>
        <v>-44635051.377932012</v>
      </c>
      <c r="I26" s="145">
        <f>-'Cronograma de Implantação'!G38*'Premissas Adotadas'!$G$38-'Cronograma de Implantação'!G50*'Premissas Adotadas'!$D$50</f>
        <v>-70900726.425572231</v>
      </c>
      <c r="J26" s="145">
        <f>-'Cronograma de Implantação'!H38*'Premissas Adotadas'!$G$38-'Cronograma de Implantação'!H50*'Premissas Adotadas'!$D$50</f>
        <v>-106390396.43507081</v>
      </c>
      <c r="K26" s="145">
        <f>-'Cronograma de Implantação'!I38*'Premissas Adotadas'!$G$38-'Cronograma de Implantação'!I50*'Premissas Adotadas'!$D$50</f>
        <v>-117439973.73313029</v>
      </c>
      <c r="L26" s="145">
        <f>-'Cronograma de Implantação'!J38*'Premissas Adotadas'!$G$38-'Cronograma de Implantação'!J50*'Premissas Adotadas'!$D$50</f>
        <v>-117439973.73313029</v>
      </c>
      <c r="M26" s="145">
        <f>-'Cronograma de Implantação'!K38*'Premissas Adotadas'!$G$38-'Cronograma de Implantação'!K50*'Premissas Adotadas'!$D$50</f>
        <v>-117439973.73313029</v>
      </c>
      <c r="N26" s="145">
        <f>-'Cronograma de Implantação'!L38*'Premissas Adotadas'!$G$38-'Cronograma de Implantação'!L50*'Premissas Adotadas'!$D$50</f>
        <v>-117439973.73313029</v>
      </c>
      <c r="O26" s="145">
        <f>-'Cronograma de Implantação'!M38*'Premissas Adotadas'!$G$38-'Cronograma de Implantação'!M50*'Premissas Adotadas'!$D$50</f>
        <v>-117439973.73313029</v>
      </c>
      <c r="P26" s="145">
        <f>-'Cronograma de Implantação'!N38*'Premissas Adotadas'!$G$38-'Cronograma de Implantação'!N50*'Premissas Adotadas'!$D$50</f>
        <v>-117439973.73313029</v>
      </c>
      <c r="Q26" s="145">
        <f>-'Cronograma de Implantação'!O38*'Premissas Adotadas'!$G$38-'Cronograma de Implantação'!O50*'Premissas Adotadas'!$D$50</f>
        <v>-117439973.73313029</v>
      </c>
      <c r="R26" s="145">
        <f>-'Cronograma de Implantação'!P38*'Premissas Adotadas'!$G$38-'Cronograma de Implantação'!P50*'Premissas Adotadas'!$D$50</f>
        <v>-117439973.73313029</v>
      </c>
      <c r="S26" s="145">
        <f>-'Cronograma de Implantação'!Q38*'Premissas Adotadas'!$G$38-'Cronograma de Implantação'!Q50*'Premissas Adotadas'!$D$50</f>
        <v>-117439973.73313029</v>
      </c>
      <c r="T26" s="145">
        <f>-'Cronograma de Implantação'!R38*'Premissas Adotadas'!$G$38-'Cronograma de Implantação'!R50*'Premissas Adotadas'!$D$50</f>
        <v>-117439973.73313029</v>
      </c>
      <c r="U26" s="145">
        <f>-'Cronograma de Implantação'!S38*'Premissas Adotadas'!$G$38-'Cronograma de Implantação'!S50*'Premissas Adotadas'!$D$50</f>
        <v>-117439973.73313029</v>
      </c>
      <c r="V26" s="145">
        <f>-'Cronograma de Implantação'!T38*'Premissas Adotadas'!$G$38-'Cronograma de Implantação'!T50*'Premissas Adotadas'!$D$50</f>
        <v>-119003078.2137285</v>
      </c>
      <c r="W26" s="145">
        <f>-'Cronograma de Implantação'!U38*'Premissas Adotadas'!$G$38-'Cronograma de Implantação'!U50*'Premissas Adotadas'!$D$50</f>
        <v>-117439973.73313029</v>
      </c>
      <c r="X26" s="145">
        <f>-'Cronograma de Implantação'!V38*'Premissas Adotadas'!$G$38-'Cronograma de Implantação'!V50*'Premissas Adotadas'!$D$50</f>
        <v>-119003078.2137285</v>
      </c>
      <c r="Y26" s="145">
        <f>-'Cronograma de Implantação'!W38*'Premissas Adotadas'!$G$38-'Cronograma de Implantação'!W50*'Premissas Adotadas'!$D$50</f>
        <v>-117439973.73313029</v>
      </c>
      <c r="Z26" s="145">
        <f>-'Cronograma de Implantação'!X38*'Premissas Adotadas'!$G$38-'Cronograma de Implantação'!X50*'Premissas Adotadas'!$D$50</f>
        <v>-119003078.2137285</v>
      </c>
      <c r="AA26" s="145">
        <f>-'Cronograma de Implantação'!Y38*'Premissas Adotadas'!$G$38-'Cronograma de Implantação'!Y50*'Premissas Adotadas'!$D$50</f>
        <v>-117439973.73313029</v>
      </c>
      <c r="AB26" s="145">
        <f>-'Cronograma de Implantação'!Z38*'Premissas Adotadas'!$G$38-'Cronograma de Implantação'!Z50*'Premissas Adotadas'!$D$50</f>
        <v>-117439973.73313029</v>
      </c>
      <c r="AC26" s="145">
        <f>-'Cronograma de Implantação'!AA38*'Premissas Adotadas'!$G$38-'Cronograma de Implantação'!AA50*'Premissas Adotadas'!$D$50</f>
        <v>-117439973.73313029</v>
      </c>
      <c r="AD26" s="145">
        <f>-'Cronograma de Implantação'!AB38*'Premissas Adotadas'!$G$38-'Cronograma de Implantação'!AB50*'Premissas Adotadas'!$D$50</f>
        <v>-117439973.73313029</v>
      </c>
      <c r="AE26" s="145">
        <f>-'Cronograma de Implantação'!AC38*'Premissas Adotadas'!$G$38-'Cronograma de Implantação'!AC50*'Premissas Adotadas'!$D$50</f>
        <v>-117439973.73313029</v>
      </c>
      <c r="AF26" s="145">
        <f>-'Cronograma de Implantação'!AD38*'Premissas Adotadas'!$G$38-'Cronograma de Implantação'!AD50*'Premissas Adotadas'!$D$50</f>
        <v>-117439973.73313029</v>
      </c>
      <c r="AG26" s="145">
        <f>-'Cronograma de Implantação'!AE38*'Premissas Adotadas'!$G$38-'Cronograma de Implantação'!AE50*'Premissas Adotadas'!$D$50</f>
        <v>-117439973.73313029</v>
      </c>
      <c r="AH26" s="145">
        <f>-'Cronograma de Implantação'!AF38*'Premissas Adotadas'!$G$38-'Cronograma de Implantação'!AF50*'Premissas Adotadas'!$D$50</f>
        <v>-117439973.73313029</v>
      </c>
      <c r="AI26" s="145">
        <f>-'Cronograma de Implantação'!AG38*'Premissas Adotadas'!$G$38-'Cronograma de Implantação'!AG50*'Premissas Adotadas'!$D$50</f>
        <v>-117439973.73313029</v>
      </c>
      <c r="AJ26" s="145">
        <f>-'Cronograma de Implantação'!AH38*'Premissas Adotadas'!$G$38-'Cronograma de Implantação'!AH50*'Premissas Adotadas'!$D$50</f>
        <v>-117439973.73313029</v>
      </c>
      <c r="AK26" s="145">
        <f>-'Cronograma de Implantação'!AI38*'Premissas Adotadas'!$G$38-'Cronograma de Implantação'!AI50*'Premissas Adotadas'!$D$50</f>
        <v>-117439973.73313029</v>
      </c>
      <c r="AL26" s="145">
        <f>-'Cronograma de Implantação'!AJ38*'Premissas Adotadas'!$G$38-'Cronograma de Implantação'!AJ50*'Premissas Adotadas'!$D$50</f>
        <v>-117439973.73313029</v>
      </c>
      <c r="AM26" s="145">
        <f>-'Cronograma de Implantação'!AK38*'Premissas Adotadas'!$G$38-'Cronograma de Implantação'!AK50*'Premissas Adotadas'!$D$50</f>
        <v>-117439973.73313029</v>
      </c>
    </row>
    <row r="27" spans="2:40" x14ac:dyDescent="0.2">
      <c r="B27" s="144" t="s">
        <v>225</v>
      </c>
      <c r="C27" s="190">
        <f t="shared" ref="C27" si="11">SUM(E27:AM27)</f>
        <v>-383515171.66472399</v>
      </c>
      <c r="D27" s="192"/>
      <c r="E27" s="145">
        <f>-'Cronograma de Implantação'!C42*'Premissas Adotadas'!$G$39-'Cronograma de Implantação'!C56*'Premissas Adotadas'!$D$51</f>
        <v>0</v>
      </c>
      <c r="F27" s="145">
        <f>-'Cronograma de Implantação'!D42*'Premissas Adotadas'!$G$39-'Cronograma de Implantação'!D56*'Premissas Adotadas'!$D$51</f>
        <v>0</v>
      </c>
      <c r="G27" s="145">
        <f>-'Cronograma de Implantação'!E42*'Premissas Adotadas'!$G$39-'Cronograma de Implantação'!E56*'Premissas Adotadas'!$D$51</f>
        <v>-1018281.2096430925</v>
      </c>
      <c r="H27" s="145">
        <f>-'Cronograma de Implantação'!F42*'Premissas Adotadas'!$G$39-'Cronograma de Implantação'!F56*'Premissas Adotadas'!$D$51</f>
        <v>-4687763.0461947788</v>
      </c>
      <c r="I27" s="145">
        <f>-'Cronograma de Implantação'!G42*'Premissas Adotadas'!$G$39-'Cronograma de Implantação'!G56*'Premissas Adotadas'!$D$51</f>
        <v>-7446296.0168225076</v>
      </c>
      <c r="J27" s="145">
        <f>-'Cronograma de Implantação'!H42*'Premissas Adotadas'!$G$39-'Cronograma de Implantação'!H56*'Premissas Adotadas'!$D$51</f>
        <v>-11173572.19229988</v>
      </c>
      <c r="K27" s="145">
        <f>-'Cronograma de Implantação'!I42*'Premissas Adotadas'!$G$39-'Cronograma de Implantação'!I56*'Premissas Adotadas'!$D$51</f>
        <v>-12334045.823109351</v>
      </c>
      <c r="L27" s="145">
        <f>-'Cronograma de Implantação'!J42*'Premissas Adotadas'!$G$39-'Cronograma de Implantação'!J56*'Premissas Adotadas'!$D$51</f>
        <v>-12334045.823109351</v>
      </c>
      <c r="M27" s="145">
        <f>-'Cronograma de Implantação'!K42*'Premissas Adotadas'!$G$39-'Cronograma de Implantação'!K56*'Premissas Adotadas'!$D$51</f>
        <v>-12334045.823109351</v>
      </c>
      <c r="N27" s="145">
        <f>-'Cronograma de Implantação'!L42*'Premissas Adotadas'!$G$39-'Cronograma de Implantação'!L56*'Premissas Adotadas'!$D$51</f>
        <v>-12334045.823109351</v>
      </c>
      <c r="O27" s="145">
        <f>-'Cronograma de Implantação'!M42*'Premissas Adotadas'!$G$39-'Cronograma de Implantação'!M56*'Premissas Adotadas'!$D$51</f>
        <v>-12334045.823109351</v>
      </c>
      <c r="P27" s="145">
        <f>-'Cronograma de Implantação'!N42*'Premissas Adotadas'!$G$39-'Cronograma de Implantação'!N56*'Premissas Adotadas'!$D$51</f>
        <v>-12334045.823109351</v>
      </c>
      <c r="Q27" s="145">
        <f>-'Cronograma de Implantação'!O42*'Premissas Adotadas'!$G$39-'Cronograma de Implantação'!O56*'Premissas Adotadas'!$D$51</f>
        <v>-12334045.823109351</v>
      </c>
      <c r="R27" s="145">
        <f>-'Cronograma de Implantação'!P42*'Premissas Adotadas'!$G$39-'Cronograma de Implantação'!P56*'Premissas Adotadas'!$D$51</f>
        <v>-12334045.823109351</v>
      </c>
      <c r="S27" s="145">
        <f>-'Cronograma de Implantação'!Q42*'Premissas Adotadas'!$G$39-'Cronograma de Implantação'!Q56*'Premissas Adotadas'!$D$51</f>
        <v>-12334045.823109351</v>
      </c>
      <c r="T27" s="145">
        <f>-'Cronograma de Implantação'!R42*'Premissas Adotadas'!$G$39-'Cronograma de Implantação'!R56*'Premissas Adotadas'!$D$51</f>
        <v>-12334045.823109351</v>
      </c>
      <c r="U27" s="145">
        <f>-'Cronograma de Implantação'!S42*'Premissas Adotadas'!$G$39-'Cronograma de Implantação'!S56*'Premissas Adotadas'!$D$51</f>
        <v>-12334045.823109351</v>
      </c>
      <c r="V27" s="145">
        <f>-'Cronograma de Implantação'!T42*'Premissas Adotadas'!$G$39-'Cronograma de Implantação'!T56*'Premissas Adotadas'!$D$51</f>
        <v>-12334045.823109351</v>
      </c>
      <c r="W27" s="145">
        <f>-'Cronograma de Implantação'!U42*'Premissas Adotadas'!$G$39-'Cronograma de Implantação'!U56*'Premissas Adotadas'!$D$51</f>
        <v>-12834689.266306896</v>
      </c>
      <c r="X27" s="145">
        <f>-'Cronograma de Implantação'!V42*'Premissas Adotadas'!$G$39-'Cronograma de Implantação'!V56*'Premissas Adotadas'!$D$51</f>
        <v>-12334045.823109351</v>
      </c>
      <c r="Y27" s="145">
        <f>-'Cronograma de Implantação'!W42*'Premissas Adotadas'!$G$39-'Cronograma de Implantação'!W56*'Premissas Adotadas'!$D$51</f>
        <v>-12334045.823109351</v>
      </c>
      <c r="Z27" s="145">
        <f>-'Cronograma de Implantação'!X42*'Premissas Adotadas'!$G$39-'Cronograma de Implantação'!X56*'Premissas Adotadas'!$D$51</f>
        <v>-12334045.823109351</v>
      </c>
      <c r="AA27" s="145">
        <f>-'Cronograma de Implantação'!Y42*'Premissas Adotadas'!$G$39-'Cronograma de Implantação'!Y56*'Premissas Adotadas'!$D$51</f>
        <v>-12834689.266306896</v>
      </c>
      <c r="AB27" s="145">
        <f>-'Cronograma de Implantação'!Z42*'Premissas Adotadas'!$G$39-'Cronograma de Implantação'!Z56*'Premissas Adotadas'!$D$51</f>
        <v>-12334045.823109351</v>
      </c>
      <c r="AC27" s="145">
        <f>-'Cronograma de Implantação'!AA42*'Premissas Adotadas'!$G$39-'Cronograma de Implantação'!AA56*'Premissas Adotadas'!$D$51</f>
        <v>-12834689.266306896</v>
      </c>
      <c r="AD27" s="145">
        <f>-'Cronograma de Implantação'!AB42*'Premissas Adotadas'!$G$39-'Cronograma de Implantação'!AB56*'Premissas Adotadas'!$D$51</f>
        <v>-12334045.823109351</v>
      </c>
      <c r="AE27" s="145">
        <f>-'Cronograma de Implantação'!AC42*'Premissas Adotadas'!$G$39-'Cronograma de Implantação'!AC56*'Premissas Adotadas'!$D$51</f>
        <v>-12334045.823109351</v>
      </c>
      <c r="AF27" s="145">
        <f>-'Cronograma de Implantação'!AD42*'Premissas Adotadas'!$G$39-'Cronograma de Implantação'!AD56*'Premissas Adotadas'!$D$51</f>
        <v>-12334045.823109351</v>
      </c>
      <c r="AG27" s="145">
        <f>-'Cronograma de Implantação'!AE42*'Premissas Adotadas'!$G$39-'Cronograma de Implantação'!AE56*'Premissas Adotadas'!$D$51</f>
        <v>-12334045.823109351</v>
      </c>
      <c r="AH27" s="145">
        <f>-'Cronograma de Implantação'!AF42*'Premissas Adotadas'!$G$39-'Cronograma de Implantação'!AF56*'Premissas Adotadas'!$D$51</f>
        <v>-12334045.823109351</v>
      </c>
      <c r="AI27" s="145">
        <f>-'Cronograma de Implantação'!AG42*'Premissas Adotadas'!$G$39-'Cronograma de Implantação'!AG56*'Premissas Adotadas'!$D$51</f>
        <v>-12334045.823109351</v>
      </c>
      <c r="AJ27" s="145">
        <f>-'Cronograma de Implantação'!AH42*'Premissas Adotadas'!$G$39-'Cronograma de Implantação'!AH56*'Premissas Adotadas'!$D$51</f>
        <v>-12334045.823109351</v>
      </c>
      <c r="AK27" s="145">
        <f>-'Cronograma de Implantação'!AI42*'Premissas Adotadas'!$G$39-'Cronograma de Implantação'!AI56*'Premissas Adotadas'!$D$51</f>
        <v>-12334045.823109351</v>
      </c>
      <c r="AL27" s="145">
        <f>-'Cronograma de Implantação'!AJ42*'Premissas Adotadas'!$G$39-'Cronograma de Implantação'!AJ56*'Premissas Adotadas'!$D$51</f>
        <v>-12334045.823109351</v>
      </c>
      <c r="AM27" s="145">
        <f>-'Cronograma de Implantação'!AK42*'Premissas Adotadas'!$G$39-'Cronograma de Implantação'!AK56*'Premissas Adotadas'!$D$51</f>
        <v>-12334045.823109351</v>
      </c>
    </row>
    <row r="28" spans="2:40" x14ac:dyDescent="0.2">
      <c r="B28" s="144" t="s">
        <v>226</v>
      </c>
      <c r="C28" s="190">
        <f t="shared" ref="C28" si="12">SUM(E28:AM28)</f>
        <v>-388163566.26679885</v>
      </c>
      <c r="D28" s="192"/>
      <c r="E28" s="145">
        <f>-'Cronograma de Implantação'!C46*'Premissas Adotadas'!$G$40-'Cronograma de Implantação'!C62*'Premissas Adotadas'!$D$52</f>
        <v>0</v>
      </c>
      <c r="F28" s="145">
        <f>-'Cronograma de Implantação'!D46*'Premissas Adotadas'!$G$40-'Cronograma de Implantação'!D62*'Premissas Adotadas'!$D$52</f>
        <v>0</v>
      </c>
      <c r="G28" s="145">
        <f>-'Cronograma de Implantação'!E46*'Premissas Adotadas'!$G$40-'Cronograma de Implantação'!E62*'Premissas Adotadas'!$D$52</f>
        <v>-1002756.8448399431</v>
      </c>
      <c r="H28" s="145">
        <f>-'Cronograma de Implantação'!F46*'Premissas Adotadas'!$G$40-'Cronograma de Implantação'!F62*'Premissas Adotadas'!$D$52</f>
        <v>-4616295.0244433433</v>
      </c>
      <c r="I28" s="145">
        <f>-'Cronograma de Implantação'!G46*'Premissas Adotadas'!$G$40-'Cronograma de Implantação'!G62*'Premissas Adotadas'!$D$52</f>
        <v>-7332772.3509601979</v>
      </c>
      <c r="J28" s="145">
        <f>-'Cronograma de Implantação'!H46*'Premissas Adotadas'!$G$40-'Cronograma de Implantação'!H62*'Premissas Adotadas'!$D$52</f>
        <v>-11003223.75689235</v>
      </c>
      <c r="K28" s="145">
        <f>-'Cronograma de Implantação'!I46*'Premissas Adotadas'!$G$40-'Cronograma de Implantação'!I62*'Premissas Adotadas'!$D$52</f>
        <v>-12146005.206191923</v>
      </c>
      <c r="L28" s="145">
        <f>-'Cronograma de Implantação'!J46*'Premissas Adotadas'!$G$40-'Cronograma de Implantação'!J62*'Premissas Adotadas'!$D$52</f>
        <v>-13476490.462869417</v>
      </c>
      <c r="M28" s="145">
        <f>-'Cronograma de Implantação'!K46*'Premissas Adotadas'!$G$40-'Cronograma de Implantação'!K62*'Premissas Adotadas'!$D$52</f>
        <v>-13476490.462869417</v>
      </c>
      <c r="N28" s="145">
        <f>-'Cronograma de Implantação'!L46*'Premissas Adotadas'!$G$40-'Cronograma de Implantação'!L62*'Premissas Adotadas'!$D$52</f>
        <v>-13476490.462869417</v>
      </c>
      <c r="O28" s="145">
        <f>-'Cronograma de Implantação'!M46*'Premissas Adotadas'!$G$40-'Cronograma de Implantação'!M62*'Premissas Adotadas'!$D$52</f>
        <v>-12146005.206191923</v>
      </c>
      <c r="P28" s="145">
        <f>-'Cronograma de Implantação'!N46*'Premissas Adotadas'!$G$40-'Cronograma de Implantação'!N62*'Premissas Adotadas'!$D$52</f>
        <v>-12146005.206191923</v>
      </c>
      <c r="Q28" s="145">
        <f>-'Cronograma de Implantação'!O46*'Premissas Adotadas'!$G$40-'Cronograma de Implantação'!O62*'Premissas Adotadas'!$D$52</f>
        <v>-12146005.206191923</v>
      </c>
      <c r="R28" s="145">
        <f>-'Cronograma de Implantação'!P46*'Premissas Adotadas'!$G$40-'Cronograma de Implantação'!P62*'Premissas Adotadas'!$D$52</f>
        <v>-12146005.206191923</v>
      </c>
      <c r="S28" s="145">
        <f>-'Cronograma de Implantação'!Q46*'Premissas Adotadas'!$G$40-'Cronograma de Implantação'!Q62*'Premissas Adotadas'!$D$52</f>
        <v>-12146005.206191923</v>
      </c>
      <c r="T28" s="145">
        <f>-'Cronograma de Implantação'!R46*'Premissas Adotadas'!$G$40-'Cronograma de Implantação'!R62*'Premissas Adotadas'!$D$52</f>
        <v>-12146005.206191923</v>
      </c>
      <c r="U28" s="145">
        <f>-'Cronograma de Implantação'!S46*'Premissas Adotadas'!$G$40-'Cronograma de Implantação'!S62*'Premissas Adotadas'!$D$52</f>
        <v>-12146005.206191923</v>
      </c>
      <c r="V28" s="145">
        <f>-'Cronograma de Implantação'!T46*'Premissas Adotadas'!$G$40-'Cronograma de Implantação'!T62*'Premissas Adotadas'!$D$52</f>
        <v>-13476490.462869417</v>
      </c>
      <c r="W28" s="145">
        <f>-'Cronograma de Implantação'!U46*'Premissas Adotadas'!$G$40-'Cronograma de Implantação'!U62*'Premissas Adotadas'!$D$52</f>
        <v>-13476490.462869417</v>
      </c>
      <c r="X28" s="145">
        <f>-'Cronograma de Implantação'!V46*'Premissas Adotadas'!$G$40-'Cronograma de Implantação'!V62*'Premissas Adotadas'!$D$52</f>
        <v>-13476490.462869417</v>
      </c>
      <c r="Y28" s="145">
        <f>-'Cronograma de Implantação'!W46*'Premissas Adotadas'!$G$40-'Cronograma de Implantação'!W62*'Premissas Adotadas'!$D$52</f>
        <v>-12146005.206191923</v>
      </c>
      <c r="Z28" s="145">
        <f>-'Cronograma de Implantação'!X46*'Premissas Adotadas'!$G$40-'Cronograma de Implantação'!X62*'Premissas Adotadas'!$D$52</f>
        <v>-12146005.206191923</v>
      </c>
      <c r="AA28" s="145">
        <f>-'Cronograma de Implantação'!Y46*'Premissas Adotadas'!$G$40-'Cronograma de Implantação'!Y62*'Premissas Adotadas'!$D$52</f>
        <v>-12146005.206191923</v>
      </c>
      <c r="AB28" s="145">
        <f>-'Cronograma de Implantação'!Z46*'Premissas Adotadas'!$G$40-'Cronograma de Implantação'!Z62*'Premissas Adotadas'!$D$52</f>
        <v>-12146005.206191923</v>
      </c>
      <c r="AC28" s="145">
        <f>-'Cronograma de Implantação'!AA46*'Premissas Adotadas'!$G$40-'Cronograma de Implantação'!AA62*'Premissas Adotadas'!$D$52</f>
        <v>-12146005.206191923</v>
      </c>
      <c r="AD28" s="145">
        <f>-'Cronograma de Implantação'!AB46*'Premissas Adotadas'!$G$40-'Cronograma de Implantação'!AB62*'Premissas Adotadas'!$D$52</f>
        <v>-12146005.206191923</v>
      </c>
      <c r="AE28" s="145">
        <f>-'Cronograma de Implantação'!AC46*'Premissas Adotadas'!$G$40-'Cronograma de Implantação'!AC62*'Premissas Adotadas'!$D$52</f>
        <v>-12146005.206191923</v>
      </c>
      <c r="AF28" s="145">
        <f>-'Cronograma de Implantação'!AD46*'Premissas Adotadas'!$G$40-'Cronograma de Implantação'!AD62*'Premissas Adotadas'!$D$52</f>
        <v>-13476490.462869417</v>
      </c>
      <c r="AG28" s="145">
        <f>-'Cronograma de Implantação'!AE46*'Premissas Adotadas'!$G$40-'Cronograma de Implantação'!AE62*'Premissas Adotadas'!$D$52</f>
        <v>-13476490.462869417</v>
      </c>
      <c r="AH28" s="145">
        <f>-'Cronograma de Implantação'!AF46*'Premissas Adotadas'!$G$40-'Cronograma de Implantação'!AF62*'Premissas Adotadas'!$D$52</f>
        <v>-13476490.462869417</v>
      </c>
      <c r="AI28" s="145">
        <f>-'Cronograma de Implantação'!AG46*'Premissas Adotadas'!$G$40-'Cronograma de Implantação'!AG62*'Premissas Adotadas'!$D$52</f>
        <v>-12146005.206191923</v>
      </c>
      <c r="AJ28" s="145">
        <f>-'Cronograma de Implantação'!AH46*'Premissas Adotadas'!$G$40-'Cronograma de Implantação'!AH62*'Premissas Adotadas'!$D$52</f>
        <v>-12146005.206191923</v>
      </c>
      <c r="AK28" s="145">
        <f>-'Cronograma de Implantação'!AI46*'Premissas Adotadas'!$G$40-'Cronograma de Implantação'!AI62*'Premissas Adotadas'!$D$52</f>
        <v>-12146005.206191923</v>
      </c>
      <c r="AL28" s="145">
        <f>-'Cronograma de Implantação'!AJ46*'Premissas Adotadas'!$G$40-'Cronograma de Implantação'!AJ62*'Premissas Adotadas'!$D$52</f>
        <v>-12146005.206191923</v>
      </c>
      <c r="AM28" s="145">
        <f>-'Cronograma de Implantação'!AK46*'Premissas Adotadas'!$G$40-'Cronograma de Implantação'!AK62*'Premissas Adotadas'!$D$52</f>
        <v>-12146005.206191923</v>
      </c>
    </row>
    <row r="29" spans="2:40" x14ac:dyDescent="0.2">
      <c r="B29" s="144" t="s">
        <v>70</v>
      </c>
      <c r="C29" s="190">
        <f t="shared" si="8"/>
        <v>-93125073.333028212</v>
      </c>
      <c r="D29" s="192"/>
      <c r="E29" s="145">
        <f>-(('Cronograma de Implantação'!C22*'Premissas Adotadas'!$G$17*'Premissas Adotadas'!$E$56)+('Cronograma de Implantação'!C26*'Premissas Adotadas'!$G$18*'Premissas Adotadas'!$E$57)+('Cronograma de Implantação'!C30*'Premissas Adotadas'!$G$19*'Premissas Adotadas'!$E$58)+('Cronograma de Implantação'!C38*'Premissas Adotadas'!$G$21*'Premissas Adotadas'!$E$59)+('Cronograma de Implantação'!C42*'Premissas Adotadas'!$G$22*'Premissas Adotadas'!$E$60)+('Cronograma de Implantação'!C46*'Premissas Adotadas'!$G$23*'Premissas Adotadas'!$E$61))</f>
        <v>0</v>
      </c>
      <c r="F29" s="145">
        <f>-(('Cronograma de Implantação'!D22*'Premissas Adotadas'!$G$17*'Premissas Adotadas'!$E$56)+('Cronograma de Implantação'!D26*'Premissas Adotadas'!$G$18*'Premissas Adotadas'!$E$57)+('Cronograma de Implantação'!D30*'Premissas Adotadas'!$G$19*'Premissas Adotadas'!$E$58)+('Cronograma de Implantação'!D38*'Premissas Adotadas'!$G$21*'Premissas Adotadas'!$E$59)+('Cronograma de Implantação'!D42*'Premissas Adotadas'!$G$22*'Premissas Adotadas'!$E$60)+('Cronograma de Implantação'!D46*'Premissas Adotadas'!$G$23*'Premissas Adotadas'!$E$61))</f>
        <v>0</v>
      </c>
      <c r="G29" s="145">
        <f>-(('Cronograma de Implantação'!E22*'Premissas Adotadas'!$G$17*'Premissas Adotadas'!$E$56)+('Cronograma de Implantação'!E26*'Premissas Adotadas'!$G$18*'Premissas Adotadas'!$E$57)+('Cronograma de Implantação'!E30*'Premissas Adotadas'!$G$19*'Premissas Adotadas'!$E$58)+('Cronograma de Implantação'!E38*'Premissas Adotadas'!$G$21*'Premissas Adotadas'!$E$59)+('Cronograma de Implantação'!E42*'Premissas Adotadas'!$G$22*'Premissas Adotadas'!$E$60)+('Cronograma de Implantação'!E46*'Premissas Adotadas'!$G$23*'Premissas Adotadas'!$E$61))</f>
        <v>-248230.95657688918</v>
      </c>
      <c r="H29" s="145">
        <f>-(('Cronograma de Implantação'!F22*'Premissas Adotadas'!$G$17*'Premissas Adotadas'!$E$56)+('Cronograma de Implantação'!F26*'Premissas Adotadas'!$G$18*'Premissas Adotadas'!$E$57)+('Cronograma de Implantação'!F30*'Premissas Adotadas'!$G$19*'Premissas Adotadas'!$E$58)+('Cronograma de Implantação'!F38*'Premissas Adotadas'!$G$21*'Premissas Adotadas'!$E$59)+('Cronograma de Implantação'!F42*'Premissas Adotadas'!$G$22*'Premissas Adotadas'!$E$60)+('Cronograma de Implantação'!F46*'Premissas Adotadas'!$G$23*'Premissas Adotadas'!$E$61))</f>
        <v>-1142756.9262233367</v>
      </c>
      <c r="I29" s="145">
        <f>-(('Cronograma de Implantação'!G22*'Premissas Adotadas'!$G$17*'Premissas Adotadas'!$E$56)+('Cronograma de Implantação'!G26*'Premissas Adotadas'!$G$18*'Premissas Adotadas'!$E$57)+('Cronograma de Implantação'!G30*'Premissas Adotadas'!$G$19*'Premissas Adotadas'!$E$58)+('Cronograma de Implantação'!G38*'Premissas Adotadas'!$G$21*'Premissas Adotadas'!$E$59)+('Cronograma de Implantação'!G42*'Premissas Adotadas'!$G$22*'Premissas Adotadas'!$E$60)+('Cronograma de Implantação'!G46*'Premissas Adotadas'!$G$23*'Premissas Adotadas'!$E$61))</f>
        <v>-1815216.8239050535</v>
      </c>
      <c r="J29" s="145">
        <f>-(('Cronograma de Implantação'!H22*'Premissas Adotadas'!$G$17*'Premissas Adotadas'!$E$56)+('Cronograma de Implantação'!H26*'Premissas Adotadas'!$G$18*'Premissas Adotadas'!$E$57)+('Cronograma de Implantação'!H30*'Premissas Adotadas'!$G$19*'Premissas Adotadas'!$E$58)+('Cronograma de Implantação'!H38*'Premissas Adotadas'!$G$21*'Premissas Adotadas'!$E$59)+('Cronograma de Implantação'!H42*'Premissas Adotadas'!$G$22*'Premissas Adotadas'!$E$60)+('Cronograma de Implantação'!H46*'Premissas Adotadas'!$G$23*'Premissas Adotadas'!$E$61))</f>
        <v>-2723831.5775734331</v>
      </c>
      <c r="K29" s="145">
        <f>-(('Cronograma de Implantação'!I22*'Premissas Adotadas'!$G$17*'Premissas Adotadas'!$E$56)+('Cronograma de Implantação'!I26*'Premissas Adotadas'!$G$18*'Premissas Adotadas'!$E$57)+('Cronograma de Implantação'!I30*'Premissas Adotadas'!$G$19*'Premissas Adotadas'!$E$58)+('Cronograma de Implantação'!I38*'Premissas Adotadas'!$G$21*'Premissas Adotadas'!$E$59)+('Cronograma de Implantação'!I42*'Premissas Adotadas'!$G$22*'Premissas Adotadas'!$E$60)+('Cronograma de Implantação'!I46*'Premissas Adotadas'!$G$23*'Premissas Adotadas'!$E$61))</f>
        <v>-3006725.4154741215</v>
      </c>
      <c r="L29" s="145">
        <f>-(('Cronograma de Implantação'!J22*'Premissas Adotadas'!$G$17*'Premissas Adotadas'!$E$56)+('Cronograma de Implantação'!J26*'Premissas Adotadas'!$G$18*'Premissas Adotadas'!$E$57)+('Cronograma de Implantação'!J30*'Premissas Adotadas'!$G$19*'Premissas Adotadas'!$E$58)+('Cronograma de Implantação'!J38*'Premissas Adotadas'!$G$21*'Premissas Adotadas'!$E$59)+('Cronograma de Implantação'!J42*'Premissas Adotadas'!$G$22*'Premissas Adotadas'!$E$60)+('Cronograma de Implantação'!J46*'Premissas Adotadas'!$G$23*'Premissas Adotadas'!$E$61))</f>
        <v>-3006725.4154741215</v>
      </c>
      <c r="M29" s="145">
        <f>-(('Cronograma de Implantação'!K22*'Premissas Adotadas'!$G$17*'Premissas Adotadas'!$E$56)+('Cronograma de Implantação'!K26*'Premissas Adotadas'!$G$18*'Premissas Adotadas'!$E$57)+('Cronograma de Implantação'!K30*'Premissas Adotadas'!$G$19*'Premissas Adotadas'!$E$58)+('Cronograma de Implantação'!K38*'Premissas Adotadas'!$G$21*'Premissas Adotadas'!$E$59)+('Cronograma de Implantação'!K42*'Premissas Adotadas'!$G$22*'Premissas Adotadas'!$E$60)+('Cronograma de Implantação'!K46*'Premissas Adotadas'!$G$23*'Premissas Adotadas'!$E$61))</f>
        <v>-3006725.4154741215</v>
      </c>
      <c r="N29" s="145">
        <f>-(('Cronograma de Implantação'!L22*'Premissas Adotadas'!$G$17*'Premissas Adotadas'!$E$56)+('Cronograma de Implantação'!L26*'Premissas Adotadas'!$G$18*'Premissas Adotadas'!$E$57)+('Cronograma de Implantação'!L30*'Premissas Adotadas'!$G$19*'Premissas Adotadas'!$E$58)+('Cronograma de Implantação'!L38*'Premissas Adotadas'!$G$21*'Premissas Adotadas'!$E$59)+('Cronograma de Implantação'!L42*'Premissas Adotadas'!$G$22*'Premissas Adotadas'!$E$60)+('Cronograma de Implantação'!L46*'Premissas Adotadas'!$G$23*'Premissas Adotadas'!$E$61))</f>
        <v>-3006725.4154741215</v>
      </c>
      <c r="O29" s="145">
        <f>-(('Cronograma de Implantação'!M22*'Premissas Adotadas'!$G$17*'Premissas Adotadas'!$E$56)+('Cronograma de Implantação'!M26*'Premissas Adotadas'!$G$18*'Premissas Adotadas'!$E$57)+('Cronograma de Implantação'!M30*'Premissas Adotadas'!$G$19*'Premissas Adotadas'!$E$58)+('Cronograma de Implantação'!M38*'Premissas Adotadas'!$G$21*'Premissas Adotadas'!$E$59)+('Cronograma de Implantação'!M42*'Premissas Adotadas'!$G$22*'Premissas Adotadas'!$E$60)+('Cronograma de Implantação'!M46*'Premissas Adotadas'!$G$23*'Premissas Adotadas'!$E$61))</f>
        <v>-3006725.4154741215</v>
      </c>
      <c r="P29" s="146">
        <f t="shared" ref="P29:AM30" si="13">O29</f>
        <v>-3006725.4154741215</v>
      </c>
      <c r="Q29" s="146">
        <f t="shared" si="13"/>
        <v>-3006725.4154741215</v>
      </c>
      <c r="R29" s="146">
        <f t="shared" si="13"/>
        <v>-3006725.4154741215</v>
      </c>
      <c r="S29" s="146">
        <f t="shared" si="13"/>
        <v>-3006725.4154741215</v>
      </c>
      <c r="T29" s="146">
        <f t="shared" si="13"/>
        <v>-3006725.4154741215</v>
      </c>
      <c r="U29" s="146">
        <f t="shared" si="13"/>
        <v>-3006725.4154741215</v>
      </c>
      <c r="V29" s="146">
        <f t="shared" si="13"/>
        <v>-3006725.4154741215</v>
      </c>
      <c r="W29" s="146">
        <f t="shared" si="13"/>
        <v>-3006725.4154741215</v>
      </c>
      <c r="X29" s="146">
        <f t="shared" si="13"/>
        <v>-3006725.4154741215</v>
      </c>
      <c r="Y29" s="146">
        <f t="shared" si="13"/>
        <v>-3006725.4154741215</v>
      </c>
      <c r="Z29" s="146">
        <f t="shared" si="13"/>
        <v>-3006725.4154741215</v>
      </c>
      <c r="AA29" s="146">
        <f t="shared" si="13"/>
        <v>-3006725.4154741215</v>
      </c>
      <c r="AB29" s="146">
        <f t="shared" si="13"/>
        <v>-3006725.4154741215</v>
      </c>
      <c r="AC29" s="146">
        <f t="shared" si="13"/>
        <v>-3006725.4154741215</v>
      </c>
      <c r="AD29" s="146">
        <f t="shared" si="13"/>
        <v>-3006725.4154741215</v>
      </c>
      <c r="AE29" s="146">
        <f t="shared" si="13"/>
        <v>-3006725.4154741215</v>
      </c>
      <c r="AF29" s="146">
        <f t="shared" si="13"/>
        <v>-3006725.4154741215</v>
      </c>
      <c r="AG29" s="146">
        <f t="shared" si="13"/>
        <v>-3006725.4154741215</v>
      </c>
      <c r="AH29" s="146">
        <f t="shared" si="13"/>
        <v>-3006725.4154741215</v>
      </c>
      <c r="AI29" s="146">
        <f t="shared" si="13"/>
        <v>-3006725.4154741215</v>
      </c>
      <c r="AJ29" s="146">
        <f t="shared" si="13"/>
        <v>-3006725.4154741215</v>
      </c>
      <c r="AK29" s="146">
        <f t="shared" si="13"/>
        <v>-3006725.4154741215</v>
      </c>
      <c r="AL29" s="146">
        <f t="shared" si="13"/>
        <v>-3006725.4154741215</v>
      </c>
      <c r="AM29" s="146">
        <f t="shared" si="13"/>
        <v>-3006725.4154741215</v>
      </c>
    </row>
    <row r="30" spans="2:40" x14ac:dyDescent="0.2">
      <c r="B30" s="144" t="s">
        <v>69</v>
      </c>
      <c r="C30" s="190">
        <f t="shared" si="8"/>
        <v>-417639965.53616625</v>
      </c>
      <c r="D30" s="192"/>
      <c r="E30" s="145">
        <f>-'Cronograma de Implantação'!C13*'Premissas Adotadas'!$K$15</f>
        <v>0</v>
      </c>
      <c r="F30" s="145">
        <f>-'Cronograma de Implantação'!D13*'Premissas Adotadas'!$K$15</f>
        <v>0</v>
      </c>
      <c r="G30" s="145">
        <f>-'Cronograma de Implantação'!E13*'Premissas Adotadas'!$K$15</f>
        <v>-1113246.566572238</v>
      </c>
      <c r="H30" s="145">
        <f>-'Cronograma de Implantação'!F13*'Premissas Adotadas'!$K$15</f>
        <v>-5124945.905571294</v>
      </c>
      <c r="I30" s="145">
        <f>-'Cronograma de Implantação'!G13*'Premissas Adotadas'!$K$15</f>
        <v>-8140740.8836638341</v>
      </c>
      <c r="J30" s="145">
        <f>-'Cronograma de Implantação'!H13*'Premissas Adotadas'!$K$15</f>
        <v>-12215624.487252124</v>
      </c>
      <c r="K30" s="145">
        <f>-'Cronograma de Implantação'!I13*'Premissas Adotadas'!$K$15</f>
        <v>-13484324.403210575</v>
      </c>
      <c r="L30" s="145">
        <f>-'Cronograma de Implantação'!J13*'Premissas Adotadas'!$K$15</f>
        <v>-13484324.403210575</v>
      </c>
      <c r="M30" s="145">
        <f>-'Cronograma de Implantação'!K13*'Premissas Adotadas'!$K$15</f>
        <v>-13484324.403210575</v>
      </c>
      <c r="N30" s="145">
        <f>-'Cronograma de Implantação'!L13*'Premissas Adotadas'!$K$15</f>
        <v>-13484324.403210575</v>
      </c>
      <c r="O30" s="145">
        <f>-'Cronograma de Implantação'!M13*'Premissas Adotadas'!$K$15</f>
        <v>-13484324.403210575</v>
      </c>
      <c r="P30" s="146">
        <f t="shared" si="13"/>
        <v>-13484324.403210575</v>
      </c>
      <c r="Q30" s="146">
        <f t="shared" si="13"/>
        <v>-13484324.403210575</v>
      </c>
      <c r="R30" s="146">
        <f t="shared" si="13"/>
        <v>-13484324.403210575</v>
      </c>
      <c r="S30" s="146">
        <f t="shared" si="13"/>
        <v>-13484324.403210575</v>
      </c>
      <c r="T30" s="146">
        <f t="shared" si="13"/>
        <v>-13484324.403210575</v>
      </c>
      <c r="U30" s="146">
        <f t="shared" si="13"/>
        <v>-13484324.403210575</v>
      </c>
      <c r="V30" s="146">
        <f t="shared" si="13"/>
        <v>-13484324.403210575</v>
      </c>
      <c r="W30" s="146">
        <f t="shared" si="13"/>
        <v>-13484324.403210575</v>
      </c>
      <c r="X30" s="146">
        <f t="shared" si="13"/>
        <v>-13484324.403210575</v>
      </c>
      <c r="Y30" s="146">
        <f t="shared" si="13"/>
        <v>-13484324.403210575</v>
      </c>
      <c r="Z30" s="146">
        <f t="shared" si="13"/>
        <v>-13484324.403210575</v>
      </c>
      <c r="AA30" s="146">
        <f t="shared" si="13"/>
        <v>-13484324.403210575</v>
      </c>
      <c r="AB30" s="146">
        <f t="shared" si="13"/>
        <v>-13484324.403210575</v>
      </c>
      <c r="AC30" s="146">
        <f t="shared" si="13"/>
        <v>-13484324.403210575</v>
      </c>
      <c r="AD30" s="146">
        <f t="shared" si="13"/>
        <v>-13484324.403210575</v>
      </c>
      <c r="AE30" s="146">
        <f t="shared" si="13"/>
        <v>-13484324.403210575</v>
      </c>
      <c r="AF30" s="146">
        <f t="shared" si="13"/>
        <v>-13484324.403210575</v>
      </c>
      <c r="AG30" s="146">
        <f t="shared" si="13"/>
        <v>-13484324.403210575</v>
      </c>
      <c r="AH30" s="146">
        <f t="shared" si="13"/>
        <v>-13484324.403210575</v>
      </c>
      <c r="AI30" s="146">
        <f t="shared" si="13"/>
        <v>-13484324.403210575</v>
      </c>
      <c r="AJ30" s="146">
        <f t="shared" si="13"/>
        <v>-13484324.403210575</v>
      </c>
      <c r="AK30" s="146">
        <f t="shared" si="13"/>
        <v>-13484324.403210575</v>
      </c>
      <c r="AL30" s="146">
        <f t="shared" si="13"/>
        <v>-13484324.403210575</v>
      </c>
      <c r="AM30" s="146">
        <f t="shared" si="13"/>
        <v>-13484324.403210575</v>
      </c>
    </row>
    <row r="31" spans="2:40" s="231" customFormat="1" x14ac:dyDescent="0.2">
      <c r="B31" s="168" t="s">
        <v>2</v>
      </c>
      <c r="C31" s="576">
        <f>SUM(E31:AM31)</f>
        <v>-27650000.000000004</v>
      </c>
      <c r="D31" s="193"/>
      <c r="E31" s="169">
        <f>-'Premissas Adotadas'!$E$12*'Premissas Adotadas'!$L$10*40%</f>
        <v>-11060000.000000004</v>
      </c>
      <c r="F31" s="169">
        <v>0</v>
      </c>
      <c r="G31" s="169">
        <v>0</v>
      </c>
      <c r="H31" s="169">
        <v>0</v>
      </c>
      <c r="I31" s="169">
        <v>0</v>
      </c>
      <c r="J31" s="169"/>
      <c r="K31" s="169">
        <f>-'Premissas Adotadas'!$E$12*'Premissas Adotadas'!$L$10*15%</f>
        <v>-4147500.0000000009</v>
      </c>
      <c r="L31" s="169">
        <f>-'Premissas Adotadas'!$E$12*'Premissas Adotadas'!$L$10*15%</f>
        <v>-4147500.0000000009</v>
      </c>
      <c r="M31" s="169">
        <f>-'Premissas Adotadas'!$E$12*'Premissas Adotadas'!$L$10*15%</f>
        <v>-4147500.0000000009</v>
      </c>
      <c r="N31" s="169">
        <f>-'Premissas Adotadas'!$E$12*'Premissas Adotadas'!$L$10*15%</f>
        <v>-4147500.0000000009</v>
      </c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69"/>
      <c r="AE31" s="169"/>
      <c r="AF31" s="169"/>
      <c r="AG31" s="169"/>
      <c r="AH31" s="169"/>
      <c r="AI31" s="169"/>
      <c r="AJ31" s="169"/>
      <c r="AK31" s="169"/>
      <c r="AL31" s="169"/>
      <c r="AM31" s="169"/>
      <c r="AN31" s="260"/>
    </row>
    <row r="32" spans="2:40" x14ac:dyDescent="0.2">
      <c r="B32" s="168" t="s">
        <v>259</v>
      </c>
      <c r="C32" s="190">
        <f>SUM(E32:AM32)</f>
        <v>-40472567.787616104</v>
      </c>
      <c r="D32" s="193"/>
      <c r="E32" s="169">
        <f>-'Meio Ambiente'!F36</f>
        <v>-5066964.2588849999</v>
      </c>
      <c r="F32" s="169">
        <f>-'Meio Ambiente'!G36</f>
        <v>-2595132.7000000002</v>
      </c>
      <c r="G32" s="169">
        <f>-'Meio Ambiente'!H36</f>
        <v>-3005345.6629312378</v>
      </c>
      <c r="H32" s="169">
        <f>-'Meio Ambiente'!I36</f>
        <v>-4073377.6114639202</v>
      </c>
      <c r="I32" s="169">
        <f>-'Meio Ambiente'!J36</f>
        <v>-3718674.9254199686</v>
      </c>
      <c r="J32" s="169">
        <f>-'Meio Ambiente'!K36</f>
        <v>-4099575.9308528416</v>
      </c>
      <c r="K32" s="169">
        <f>-'Meio Ambiente'!L36</f>
        <v>-2197141.6632504645</v>
      </c>
      <c r="L32" s="169">
        <f>-'Meio Ambiente'!M36</f>
        <v>-560846.07999999996</v>
      </c>
      <c r="M32" s="169">
        <f>-'Meio Ambiente'!N36</f>
        <v>-560846.07999999996</v>
      </c>
      <c r="N32" s="169">
        <f>-'Meio Ambiente'!O36</f>
        <v>-560846.07999999996</v>
      </c>
      <c r="O32" s="169">
        <f>-'Meio Ambiente'!P36</f>
        <v>-560846.07999999996</v>
      </c>
      <c r="P32" s="169">
        <f>-'Meio Ambiente'!Q36</f>
        <v>-564012.27870317909</v>
      </c>
      <c r="Q32" s="169">
        <f>-'Meio Ambiente'!R36</f>
        <v>-560846.07999999996</v>
      </c>
      <c r="R32" s="169">
        <f>-'Meio Ambiente'!S36</f>
        <v>-560846.07999999996</v>
      </c>
      <c r="S32" s="169">
        <f>-'Meio Ambiente'!T36</f>
        <v>-560846.07999999996</v>
      </c>
      <c r="T32" s="169">
        <f>-'Meio Ambiente'!U36</f>
        <v>-560846.07999999996</v>
      </c>
      <c r="U32" s="169">
        <f>-'Meio Ambiente'!V36</f>
        <v>-560846.07999999996</v>
      </c>
      <c r="V32" s="169">
        <f>-'Meio Ambiente'!W36</f>
        <v>-564012.27870317909</v>
      </c>
      <c r="W32" s="169">
        <f>-'Meio Ambiente'!X36</f>
        <v>-560846.07999999996</v>
      </c>
      <c r="X32" s="169">
        <f>-'Meio Ambiente'!Y36</f>
        <v>-560846.07999999996</v>
      </c>
      <c r="Y32" s="169">
        <f>-'Meio Ambiente'!Z36</f>
        <v>-560846.07999999996</v>
      </c>
      <c r="Z32" s="169">
        <f>-'Meio Ambiente'!AA36</f>
        <v>-560846.07999999996</v>
      </c>
      <c r="AA32" s="169">
        <f>-'Meio Ambiente'!AB36</f>
        <v>-560846.07999999996</v>
      </c>
      <c r="AB32" s="169">
        <f>-'Meio Ambiente'!AC36</f>
        <v>-564012.27870317909</v>
      </c>
      <c r="AC32" s="169">
        <f>-'Meio Ambiente'!AD36</f>
        <v>-560846.07999999996</v>
      </c>
      <c r="AD32" s="169">
        <f>-'Meio Ambiente'!AE36</f>
        <v>-560846.07999999996</v>
      </c>
      <c r="AE32" s="169">
        <f>-'Meio Ambiente'!AF36</f>
        <v>-560846.07999999996</v>
      </c>
      <c r="AF32" s="169">
        <f>-'Meio Ambiente'!AG36</f>
        <v>-560846.07999999996</v>
      </c>
      <c r="AG32" s="169">
        <f>-'Meio Ambiente'!AH36</f>
        <v>-560846.07999999996</v>
      </c>
      <c r="AH32" s="169">
        <f>-'Meio Ambiente'!AI36</f>
        <v>-564012.27870317909</v>
      </c>
      <c r="AI32" s="169">
        <f>-'Meio Ambiente'!AJ36</f>
        <v>-560846.07999999996</v>
      </c>
      <c r="AJ32" s="169">
        <f>-'Meio Ambiente'!AK36</f>
        <v>-560846.07999999996</v>
      </c>
      <c r="AK32" s="169">
        <f>-'Meio Ambiente'!AL36</f>
        <v>-560846.07999999996</v>
      </c>
      <c r="AL32" s="169">
        <f>-'Meio Ambiente'!AM36</f>
        <v>-560846.07999999996</v>
      </c>
      <c r="AM32" s="169">
        <f>-'Meio Ambiente'!AN36</f>
        <v>-560846.07999999996</v>
      </c>
    </row>
    <row r="33" spans="2:39" x14ac:dyDescent="0.2">
      <c r="B33" s="168" t="s">
        <v>824</v>
      </c>
      <c r="C33" s="190">
        <f>SUM(E33:AM33)</f>
        <v>-497646.8294400007</v>
      </c>
      <c r="D33" s="193"/>
      <c r="E33" s="169">
        <f>IF(E60&lt;&gt;0,'Premissas Adotadas'!$J$43*$C$60*10%,0)</f>
        <v>-82941.138240000117</v>
      </c>
      <c r="F33" s="169">
        <f>IF(F60&lt;&gt;0,'Premissas Adotadas'!$J$43*$C$60*10%,0)</f>
        <v>-82941.138240000117</v>
      </c>
      <c r="G33" s="169">
        <f>IF(G60&lt;&gt;0,'Premissas Adotadas'!$J$43*$C$60*10%,0)</f>
        <v>-82941.138240000117</v>
      </c>
      <c r="H33" s="169">
        <f>IF(H60&lt;&gt;0,'Premissas Adotadas'!$J$43*$C$60*10%,0)</f>
        <v>-82941.138240000117</v>
      </c>
      <c r="I33" s="169">
        <f>IF(I60&lt;&gt;0,'Premissas Adotadas'!$J$43*$C$60*10%,0)</f>
        <v>-82941.138240000117</v>
      </c>
      <c r="J33" s="169">
        <f>IF(J60&lt;&gt;0,'Premissas Adotadas'!$J$43*$C$60*10%,0)</f>
        <v>-82941.138240000117</v>
      </c>
      <c r="K33" s="169">
        <f>IF(K60&lt;&gt;0,'Premissas Adotadas'!$J$43*$C$60*10%,0)</f>
        <v>0</v>
      </c>
      <c r="L33" s="169">
        <f>IF(L60&lt;&gt;0,'Premissas Adotadas'!$J$43*$C$60*10%,0)</f>
        <v>0</v>
      </c>
      <c r="M33" s="169">
        <f>IF(M60&lt;&gt;0,'Premissas Adotadas'!$J$43*$C$60*10%,0)</f>
        <v>0</v>
      </c>
      <c r="N33" s="169">
        <f>IF(N60&lt;&gt;0,'Premissas Adotadas'!$J$43*$C$60*10%,0)</f>
        <v>0</v>
      </c>
      <c r="O33" s="169">
        <f>IF(O60&lt;&gt;0,'Premissas Adotadas'!$J$43*$C$60*10%,0)</f>
        <v>0</v>
      </c>
      <c r="P33" s="169">
        <f>IF(P60&lt;&gt;0,'Premissas Adotadas'!$J$43*$C$60*10%,0)</f>
        <v>0</v>
      </c>
      <c r="Q33" s="169">
        <f>IF(Q60&lt;&gt;0,'Premissas Adotadas'!$J$43*$C$60*10%,0)</f>
        <v>0</v>
      </c>
      <c r="R33" s="169">
        <f>IF(R60&lt;&gt;0,'Premissas Adotadas'!$J$43*$C$60*10%,0)</f>
        <v>0</v>
      </c>
      <c r="S33" s="169">
        <f>IF(S60&lt;&gt;0,'Premissas Adotadas'!$J$43*$C$60*10%,0)</f>
        <v>0</v>
      </c>
      <c r="T33" s="169">
        <f>IF(T60&lt;&gt;0,'Premissas Adotadas'!$J$43*$C$60*10%,0)</f>
        <v>0</v>
      </c>
      <c r="U33" s="169">
        <f>IF(U60&lt;&gt;0,'Premissas Adotadas'!$J$43*$C$60*10%,0)</f>
        <v>0</v>
      </c>
      <c r="V33" s="169">
        <f>IF(V60&lt;&gt;0,'Premissas Adotadas'!$J$43*$C$60*10%,0)</f>
        <v>0</v>
      </c>
      <c r="W33" s="169">
        <f>IF(W60&lt;&gt;0,'Premissas Adotadas'!$J$43*$C$60*10%,0)</f>
        <v>0</v>
      </c>
      <c r="X33" s="169">
        <f>IF(X60&lt;&gt;0,'Premissas Adotadas'!$J$43*$C$60*10%,0)</f>
        <v>0</v>
      </c>
      <c r="Y33" s="169">
        <f>IF(Y60&lt;&gt;0,'Premissas Adotadas'!$J$43*$C$60*10%,0)</f>
        <v>0</v>
      </c>
      <c r="Z33" s="169">
        <f>IF(Z60&lt;&gt;0,'Premissas Adotadas'!$J$43*$C$60*10%,0)</f>
        <v>0</v>
      </c>
      <c r="AA33" s="169">
        <f>IF(AA60&lt;&gt;0,'Premissas Adotadas'!$J$43*$C$60*10%,0)</f>
        <v>0</v>
      </c>
      <c r="AB33" s="169">
        <f>IF(AB60&lt;&gt;0,'Premissas Adotadas'!$J$43*$C$60*10%,0)</f>
        <v>0</v>
      </c>
      <c r="AC33" s="169">
        <f>IF(AC60&lt;&gt;0,'Premissas Adotadas'!$J$43*$C$60*10%,0)</f>
        <v>0</v>
      </c>
      <c r="AD33" s="169">
        <f>IF(AD60&lt;&gt;0,'Premissas Adotadas'!$J$43*$C$60*10%,0)</f>
        <v>0</v>
      </c>
      <c r="AE33" s="169">
        <f>IF(AE60&lt;&gt;0,'Premissas Adotadas'!$J$43*$C$60*10%,0)</f>
        <v>0</v>
      </c>
      <c r="AF33" s="169">
        <f>IF(AF60&lt;&gt;0,'Premissas Adotadas'!$J$43*$C$60*10%,0)</f>
        <v>0</v>
      </c>
      <c r="AG33" s="169">
        <f>IF(AG60&lt;&gt;0,'Premissas Adotadas'!$J$43*$C$60*10%,0)</f>
        <v>0</v>
      </c>
      <c r="AH33" s="169">
        <f>IF(AH60&lt;&gt;0,'Premissas Adotadas'!$J$43*$C$60*10%,0)</f>
        <v>0</v>
      </c>
      <c r="AI33" s="169">
        <f>IF(AI60&lt;&gt;0,'Premissas Adotadas'!$J$43*$C$60*10%,0)</f>
        <v>0</v>
      </c>
      <c r="AJ33" s="169">
        <f>IF(AJ60&lt;&gt;0,'Premissas Adotadas'!$J$43*$C$60*10%,0)</f>
        <v>0</v>
      </c>
      <c r="AK33" s="169">
        <f>IF(AK60&lt;&gt;0,'Premissas Adotadas'!$J$43*$C$60*10%,0)</f>
        <v>0</v>
      </c>
      <c r="AL33" s="169">
        <f>IF(AL60&lt;&gt;0,'Premissas Adotadas'!$J$43*$C$60*10%,0)</f>
        <v>0</v>
      </c>
      <c r="AM33" s="169">
        <f>IF(AM60&lt;&gt;0,'Premissas Adotadas'!$J$43*$C$60*10%,0)</f>
        <v>0</v>
      </c>
    </row>
    <row r="34" spans="2:39" x14ac:dyDescent="0.2">
      <c r="B34" s="168" t="s">
        <v>825</v>
      </c>
      <c r="C34" s="190">
        <f>SUM(E34:AM34)</f>
        <v>-1392746.3435952032</v>
      </c>
      <c r="D34" s="193"/>
      <c r="E34" s="169">
        <f>'Premissas Adotadas'!$J$44*'DemFin Proj'!E56</f>
        <v>-137117.74870860917</v>
      </c>
      <c r="F34" s="169">
        <f>'Premissas Adotadas'!$J$44*'DemFin Proj'!F56</f>
        <v>-163460.9205162088</v>
      </c>
      <c r="G34" s="169">
        <f>'Premissas Adotadas'!$J$44*'DemFin Proj'!G56</f>
        <v>-168300.5497570126</v>
      </c>
      <c r="H34" s="169">
        <f>'Premissas Adotadas'!$J$44*'DemFin Proj'!H56</f>
        <v>-332243.46868084301</v>
      </c>
      <c r="I34" s="169">
        <f>'Premissas Adotadas'!$J$44*'DemFin Proj'!I56</f>
        <v>-287531.42154609977</v>
      </c>
      <c r="J34" s="169">
        <f>'Premissas Adotadas'!$J$44*'DemFin Proj'!J56</f>
        <v>-235482.35668772185</v>
      </c>
      <c r="K34" s="169">
        <f>'Premissas Adotadas'!$J$44*'DemFin Proj'!K56</f>
        <v>-68609.877698708151</v>
      </c>
      <c r="L34" s="169">
        <f>'Premissas Adotadas'!$J$44*'DemFin Proj'!L56</f>
        <v>0</v>
      </c>
      <c r="M34" s="169">
        <f>'Premissas Adotadas'!$J$44*'DemFin Proj'!M56</f>
        <v>0</v>
      </c>
      <c r="N34" s="169">
        <f>'Premissas Adotadas'!$J$44*'DemFin Proj'!N56</f>
        <v>0</v>
      </c>
      <c r="O34" s="169">
        <f>'Premissas Adotadas'!$J$44*'DemFin Proj'!O56</f>
        <v>0</v>
      </c>
      <c r="P34" s="169">
        <f>'Premissas Adotadas'!$J$44*'DemFin Proj'!P56</f>
        <v>0</v>
      </c>
      <c r="Q34" s="169">
        <f>'Premissas Adotadas'!$J$44*'DemFin Proj'!Q56</f>
        <v>0</v>
      </c>
      <c r="R34" s="169">
        <f>'Premissas Adotadas'!$J$44*'DemFin Proj'!R56</f>
        <v>0</v>
      </c>
      <c r="S34" s="169">
        <f>'Premissas Adotadas'!$J$44*'DemFin Proj'!S56</f>
        <v>0</v>
      </c>
      <c r="T34" s="169">
        <f>'Premissas Adotadas'!$J$44*'DemFin Proj'!T56</f>
        <v>0</v>
      </c>
      <c r="U34" s="169">
        <f>'Premissas Adotadas'!$J$44*'DemFin Proj'!U56</f>
        <v>0</v>
      </c>
      <c r="V34" s="169">
        <f>'Premissas Adotadas'!$J$44*'DemFin Proj'!V56</f>
        <v>0</v>
      </c>
      <c r="W34" s="169">
        <f>'Premissas Adotadas'!$J$44*'DemFin Proj'!W56</f>
        <v>0</v>
      </c>
      <c r="X34" s="169">
        <f>'Premissas Adotadas'!$J$44*'DemFin Proj'!X56</f>
        <v>0</v>
      </c>
      <c r="Y34" s="169">
        <f>'Premissas Adotadas'!$J$44*'DemFin Proj'!Y56</f>
        <v>0</v>
      </c>
      <c r="Z34" s="169">
        <f>'Premissas Adotadas'!$J$44*'DemFin Proj'!Z56</f>
        <v>0</v>
      </c>
      <c r="AA34" s="169">
        <f>'Premissas Adotadas'!$J$44*'DemFin Proj'!AA56</f>
        <v>0</v>
      </c>
      <c r="AB34" s="169">
        <f>'Premissas Adotadas'!$J$44*'DemFin Proj'!AB56</f>
        <v>0</v>
      </c>
      <c r="AC34" s="169">
        <f>'Premissas Adotadas'!$J$44*'DemFin Proj'!AC56</f>
        <v>0</v>
      </c>
      <c r="AD34" s="169">
        <f>'Premissas Adotadas'!$J$44*'DemFin Proj'!AD56</f>
        <v>0</v>
      </c>
      <c r="AE34" s="169">
        <f>'Premissas Adotadas'!$J$44*'DemFin Proj'!AE56</f>
        <v>0</v>
      </c>
      <c r="AF34" s="169">
        <f>'Premissas Adotadas'!$J$44*'DemFin Proj'!AF56</f>
        <v>0</v>
      </c>
      <c r="AG34" s="169">
        <f>'Premissas Adotadas'!$J$44*'DemFin Proj'!AG56</f>
        <v>0</v>
      </c>
      <c r="AH34" s="169">
        <f>'Premissas Adotadas'!$J$44*'DemFin Proj'!AH56</f>
        <v>0</v>
      </c>
      <c r="AI34" s="169">
        <f>'Premissas Adotadas'!$J$44*'DemFin Proj'!AI56</f>
        <v>0</v>
      </c>
      <c r="AJ34" s="169">
        <f>'Premissas Adotadas'!$J$44*'DemFin Proj'!AJ56</f>
        <v>0</v>
      </c>
      <c r="AK34" s="169">
        <f>'Premissas Adotadas'!$J$44*'DemFin Proj'!AK56</f>
        <v>0</v>
      </c>
      <c r="AL34" s="169">
        <f>'Premissas Adotadas'!$J$44*'DemFin Proj'!AL56</f>
        <v>0</v>
      </c>
      <c r="AM34" s="169">
        <f>'Premissas Adotadas'!$J$44*'DemFin Proj'!AM56</f>
        <v>0</v>
      </c>
    </row>
    <row r="35" spans="2:39" x14ac:dyDescent="0.2">
      <c r="B35" s="168" t="s">
        <v>826</v>
      </c>
      <c r="C35" s="190">
        <f>SUM(E35:AM35)</f>
        <v>-22039729.141142655</v>
      </c>
      <c r="D35" s="193"/>
      <c r="E35" s="169">
        <f>-'Premissas Adotadas'!$J$45*'DemFin Proj'!E10</f>
        <v>0</v>
      </c>
      <c r="F35" s="169">
        <f>-'Premissas Adotadas'!$J$45*'DemFin Proj'!F10</f>
        <v>0</v>
      </c>
      <c r="G35" s="169">
        <f>-'Premissas Adotadas'!$J$45*'DemFin Proj'!G10</f>
        <v>-22223.146159527856</v>
      </c>
      <c r="H35" s="169">
        <f>-'Premissas Adotadas'!$J$45*'DemFin Proj'!H10</f>
        <v>-104811.36051819957</v>
      </c>
      <c r="I35" s="169">
        <f>-'Premissas Adotadas'!$J$45*'DemFin Proj'!I10</f>
        <v>-212783.98046341937</v>
      </c>
      <c r="J35" s="169">
        <f>-'Premissas Adotadas'!$J$45*'DemFin Proj'!J10</f>
        <v>-440530.79480134376</v>
      </c>
      <c r="K35" s="169">
        <f>-'Premissas Adotadas'!$J$45*'DemFin Proj'!K10</f>
        <v>-579982.40442122659</v>
      </c>
      <c r="L35" s="169">
        <f>-'Premissas Adotadas'!$J$45*'DemFin Proj'!L10</f>
        <v>-687570.60017523996</v>
      </c>
      <c r="M35" s="169">
        <f>-'Premissas Adotadas'!$J$45*'DemFin Proj'!M10</f>
        <v>-731724.33485668176</v>
      </c>
      <c r="N35" s="169">
        <f>-'Premissas Adotadas'!$J$45*'DemFin Proj'!N10</f>
        <v>-731724.33485668176</v>
      </c>
      <c r="O35" s="169">
        <f>-'Premissas Adotadas'!$J$45*'DemFin Proj'!O10</f>
        <v>-768806.22696551075</v>
      </c>
      <c r="P35" s="169">
        <f>-'Premissas Adotadas'!$J$45*'DemFin Proj'!P10</f>
        <v>-768806.22696551075</v>
      </c>
      <c r="Q35" s="169">
        <f>-'Premissas Adotadas'!$J$45*'DemFin Proj'!Q10</f>
        <v>-768806.22696551075</v>
      </c>
      <c r="R35" s="169">
        <f>-'Premissas Adotadas'!$J$45*'DemFin Proj'!R10</f>
        <v>-768806.22696551075</v>
      </c>
      <c r="S35" s="169">
        <f>-'Premissas Adotadas'!$J$45*'DemFin Proj'!S10</f>
        <v>-768806.22696551075</v>
      </c>
      <c r="T35" s="169">
        <f>-'Premissas Adotadas'!$J$45*'DemFin Proj'!T10</f>
        <v>-768806.22696551075</v>
      </c>
      <c r="U35" s="169">
        <f>-'Premissas Adotadas'!$J$45*'DemFin Proj'!U10</f>
        <v>-768806.22696551075</v>
      </c>
      <c r="V35" s="169">
        <f>-'Premissas Adotadas'!$J$45*'DemFin Proj'!V10</f>
        <v>-589814.07380852324</v>
      </c>
      <c r="W35" s="169">
        <f>-'Premissas Adotadas'!$J$45*'DemFin Proj'!W10</f>
        <v>-717205.8837066883</v>
      </c>
      <c r="X35" s="169">
        <f>-'Premissas Adotadas'!$J$45*'DemFin Proj'!X10</f>
        <v>-589814.07380852324</v>
      </c>
      <c r="Y35" s="169">
        <f>-'Premissas Adotadas'!$J$45*'DemFin Proj'!Y10</f>
        <v>-768806.22696551075</v>
      </c>
      <c r="Z35" s="169">
        <f>-'Premissas Adotadas'!$J$45*'DemFin Proj'!Z10</f>
        <v>-626895.96591735224</v>
      </c>
      <c r="AA35" s="169">
        <f>-'Premissas Adotadas'!$J$45*'DemFin Proj'!AA10</f>
        <v>-754287.77581551729</v>
      </c>
      <c r="AB35" s="169">
        <f>-'Premissas Adotadas'!$J$45*'DemFin Proj'!AB10</f>
        <v>-768806.22696551075</v>
      </c>
      <c r="AC35" s="169">
        <f>-'Premissas Adotadas'!$J$45*'DemFin Proj'!AC10</f>
        <v>-754287.77581551729</v>
      </c>
      <c r="AD35" s="169">
        <f>-'Premissas Adotadas'!$J$45*'DemFin Proj'!AD10</f>
        <v>-768806.22696551075</v>
      </c>
      <c r="AE35" s="169">
        <f>-'Premissas Adotadas'!$J$45*'DemFin Proj'!AE10</f>
        <v>-768806.22696551075</v>
      </c>
      <c r="AF35" s="169">
        <f>-'Premissas Adotadas'!$J$45*'DemFin Proj'!AF10</f>
        <v>-731724.33485668176</v>
      </c>
      <c r="AG35" s="169">
        <f>-'Premissas Adotadas'!$J$45*'DemFin Proj'!AG10</f>
        <v>-731724.33485668176</v>
      </c>
      <c r="AH35" s="169">
        <f>-'Premissas Adotadas'!$J$45*'DemFin Proj'!AH10</f>
        <v>-731724.33485668176</v>
      </c>
      <c r="AI35" s="169">
        <f>-'Premissas Adotadas'!$J$45*'DemFin Proj'!AI10</f>
        <v>-768806.22696551075</v>
      </c>
      <c r="AJ35" s="169">
        <f>-'Premissas Adotadas'!$J$45*'DemFin Proj'!AJ10</f>
        <v>-768806.22696551075</v>
      </c>
      <c r="AK35" s="169">
        <f>-'Premissas Adotadas'!$J$45*'DemFin Proj'!AK10</f>
        <v>-768806.22696551075</v>
      </c>
      <c r="AL35" s="169">
        <f>-'Premissas Adotadas'!$J$45*'DemFin Proj'!AL10</f>
        <v>-768806.22696551075</v>
      </c>
      <c r="AM35" s="169">
        <f>-'Premissas Adotadas'!$J$45*'DemFin Proj'!AM10</f>
        <v>-768806.22696551075</v>
      </c>
    </row>
    <row r="36" spans="2:39" x14ac:dyDescent="0.2">
      <c r="D36" s="181"/>
    </row>
    <row r="37" spans="2:39" x14ac:dyDescent="0.2">
      <c r="B37" s="224" t="s">
        <v>141</v>
      </c>
      <c r="C37" s="225">
        <f t="shared" si="8"/>
        <v>3306965328.3528204</v>
      </c>
      <c r="D37" s="220"/>
      <c r="E37" s="226">
        <f t="shared" ref="E37:AM37" si="14">E20+E22</f>
        <v>-16347023.145833613</v>
      </c>
      <c r="F37" s="226">
        <f t="shared" si="14"/>
        <v>-2841534.7587562092</v>
      </c>
      <c r="G37" s="226">
        <f t="shared" si="14"/>
        <v>-10373485.116502943</v>
      </c>
      <c r="H37" s="226">
        <f t="shared" si="14"/>
        <v>-36143562.305619396</v>
      </c>
      <c r="I37" s="226">
        <f t="shared" si="14"/>
        <v>-33885699.555766925</v>
      </c>
      <c r="J37" s="226">
        <f t="shared" si="14"/>
        <v>4517963.3248058558</v>
      </c>
      <c r="K37" s="226">
        <f t="shared" si="14"/>
        <v>44912427.27222389</v>
      </c>
      <c r="L37" s="226">
        <f t="shared" si="14"/>
        <v>93017693.983889192</v>
      </c>
      <c r="M37" s="226">
        <f t="shared" si="14"/>
        <v>112555721.58042717</v>
      </c>
      <c r="N37" s="226">
        <f t="shared" si="14"/>
        <v>112555721.58042717</v>
      </c>
      <c r="O37" s="226">
        <f t="shared" si="14"/>
        <v>134319374.20901883</v>
      </c>
      <c r="P37" s="226">
        <f t="shared" si="14"/>
        <v>134316208.01031566</v>
      </c>
      <c r="Q37" s="226">
        <f t="shared" si="14"/>
        <v>134319374.20901883</v>
      </c>
      <c r="R37" s="226">
        <f t="shared" si="14"/>
        <v>134319374.20901883</v>
      </c>
      <c r="S37" s="226">
        <f t="shared" si="14"/>
        <v>134319374.20901883</v>
      </c>
      <c r="T37" s="226">
        <f t="shared" si="14"/>
        <v>134319374.20901883</v>
      </c>
      <c r="U37" s="226">
        <f t="shared" si="14"/>
        <v>134319374.20901883</v>
      </c>
      <c r="V37" s="226">
        <f t="shared" si="14"/>
        <v>52486247.551770955</v>
      </c>
      <c r="W37" s="226">
        <f t="shared" si="14"/>
        <v>109824473.02185333</v>
      </c>
      <c r="X37" s="226">
        <f t="shared" si="14"/>
        <v>52489413.750474125</v>
      </c>
      <c r="Y37" s="226">
        <f t="shared" si="14"/>
        <v>134319374.20901883</v>
      </c>
      <c r="Z37" s="226">
        <f t="shared" si="14"/>
        <v>70105566.379065782</v>
      </c>
      <c r="AA37" s="226">
        <f t="shared" si="14"/>
        <v>127440625.65044498</v>
      </c>
      <c r="AB37" s="226">
        <f t="shared" si="14"/>
        <v>134316208.01031566</v>
      </c>
      <c r="AC37" s="226">
        <f t="shared" si="14"/>
        <v>127440625.65044498</v>
      </c>
      <c r="AD37" s="226">
        <f t="shared" si="14"/>
        <v>134319374.20901883</v>
      </c>
      <c r="AE37" s="226">
        <f t="shared" si="14"/>
        <v>134319374.20901883</v>
      </c>
      <c r="AF37" s="226">
        <f t="shared" si="14"/>
        <v>116703221.58042717</v>
      </c>
      <c r="AG37" s="226">
        <f t="shared" si="14"/>
        <v>116703221.58042717</v>
      </c>
      <c r="AH37" s="226">
        <f t="shared" si="14"/>
        <v>116700055.381724</v>
      </c>
      <c r="AI37" s="226">
        <f t="shared" si="14"/>
        <v>134319374.20901883</v>
      </c>
      <c r="AJ37" s="226">
        <f t="shared" si="14"/>
        <v>134319374.20901883</v>
      </c>
      <c r="AK37" s="226">
        <f t="shared" si="14"/>
        <v>134319374.20901883</v>
      </c>
      <c r="AL37" s="226">
        <f t="shared" si="14"/>
        <v>134319374.20901883</v>
      </c>
      <c r="AM37" s="226">
        <f t="shared" si="14"/>
        <v>134319374.20901883</v>
      </c>
    </row>
    <row r="38" spans="2:39" x14ac:dyDescent="0.2">
      <c r="B38" s="148" t="s">
        <v>117</v>
      </c>
      <c r="C38" s="148"/>
      <c r="D38" s="194"/>
      <c r="E38" s="148"/>
      <c r="F38" s="148"/>
      <c r="G38" s="149">
        <f t="shared" ref="G38:AM38" si="15">G37/G20</f>
        <v>-0.90638152030933072</v>
      </c>
      <c r="H38" s="149">
        <f t="shared" si="15"/>
        <v>-0.67182762180762712</v>
      </c>
      <c r="I38" s="149">
        <f t="shared" si="15"/>
        <v>-0.31970875635661505</v>
      </c>
      <c r="J38" s="149">
        <f t="shared" si="15"/>
        <v>2.1229911302037226E-2</v>
      </c>
      <c r="K38" s="149">
        <f t="shared" si="15"/>
        <v>0.16245021394845402</v>
      </c>
      <c r="L38" s="149">
        <f t="shared" si="15"/>
        <v>0.28681960689244201</v>
      </c>
      <c r="M38" s="149">
        <f t="shared" si="15"/>
        <v>0.32730201348780802</v>
      </c>
      <c r="N38" s="149">
        <f t="shared" si="15"/>
        <v>0.32730201348780802</v>
      </c>
      <c r="O38" s="149">
        <f t="shared" si="15"/>
        <v>0.37288953735889507</v>
      </c>
      <c r="P38" s="149">
        <f t="shared" si="15"/>
        <v>0.37288074754449513</v>
      </c>
      <c r="Q38" s="149">
        <f t="shared" si="15"/>
        <v>0.37288953735889507</v>
      </c>
      <c r="R38" s="149">
        <f t="shared" si="15"/>
        <v>0.37288953735889507</v>
      </c>
      <c r="S38" s="149">
        <f t="shared" si="15"/>
        <v>0.37288953735889507</v>
      </c>
      <c r="T38" s="149">
        <f t="shared" si="15"/>
        <v>0.37288953735889507</v>
      </c>
      <c r="U38" s="149">
        <f t="shared" si="15"/>
        <v>0.37288953735889507</v>
      </c>
      <c r="V38" s="149">
        <f t="shared" si="15"/>
        <v>0.18671942835952995</v>
      </c>
      <c r="W38" s="149">
        <f t="shared" si="15"/>
        <v>0.32540886998749047</v>
      </c>
      <c r="X38" s="149">
        <f t="shared" si="15"/>
        <v>0.18673069208744927</v>
      </c>
      <c r="Y38" s="149">
        <f t="shared" si="15"/>
        <v>0.37288953735889507</v>
      </c>
      <c r="Z38" s="149">
        <f t="shared" si="15"/>
        <v>0.23571264634315417</v>
      </c>
      <c r="AA38" s="149">
        <f t="shared" si="15"/>
        <v>0.36018530630332474</v>
      </c>
      <c r="AB38" s="149">
        <f t="shared" si="15"/>
        <v>0.37288074754449513</v>
      </c>
      <c r="AC38" s="149">
        <f t="shared" si="15"/>
        <v>0.36018530630332474</v>
      </c>
      <c r="AD38" s="149">
        <f t="shared" si="15"/>
        <v>0.37288953735889507</v>
      </c>
      <c r="AE38" s="149">
        <f t="shared" si="15"/>
        <v>0.37288953735889507</v>
      </c>
      <c r="AF38" s="149">
        <f t="shared" si="15"/>
        <v>0.33936257408730347</v>
      </c>
      <c r="AG38" s="149">
        <f t="shared" si="15"/>
        <v>0.33936257408730347</v>
      </c>
      <c r="AH38" s="149">
        <f t="shared" si="15"/>
        <v>0.3393533670634748</v>
      </c>
      <c r="AI38" s="149">
        <f t="shared" si="15"/>
        <v>0.37288953735889507</v>
      </c>
      <c r="AJ38" s="149">
        <f t="shared" si="15"/>
        <v>0.37288953735889507</v>
      </c>
      <c r="AK38" s="149">
        <f t="shared" si="15"/>
        <v>0.37288953735889507</v>
      </c>
      <c r="AL38" s="149">
        <f t="shared" si="15"/>
        <v>0.37288953735889507</v>
      </c>
      <c r="AM38" s="149">
        <f t="shared" si="15"/>
        <v>0.37288953735889507</v>
      </c>
    </row>
    <row r="39" spans="2:39" x14ac:dyDescent="0.2">
      <c r="D39" s="181"/>
    </row>
    <row r="40" spans="2:39" x14ac:dyDescent="0.2">
      <c r="B40" s="143" t="s">
        <v>14</v>
      </c>
      <c r="C40" s="190">
        <f t="shared" ref="C40:C52" si="16">SUM(E40:AM40)</f>
        <v>-696373171.79760146</v>
      </c>
      <c r="D40" s="181"/>
      <c r="E40" s="145">
        <f>-Depreciação!D92</f>
        <v>0</v>
      </c>
      <c r="F40" s="145">
        <f>-Depreciação!E92</f>
        <v>-2742354.9741721833</v>
      </c>
      <c r="G40" s="145">
        <f>-Depreciação!F92</f>
        <v>-6011573.3844963592</v>
      </c>
      <c r="H40" s="145">
        <f>-Depreciação!G92</f>
        <v>-10180292.830182763</v>
      </c>
      <c r="I40" s="145">
        <f>-Depreciação!H92</f>
        <v>-19717805.268830799</v>
      </c>
      <c r="J40" s="145">
        <f>-Depreciação!I92</f>
        <v>-27642978.123889979</v>
      </c>
      <c r="K40" s="145">
        <f>-Depreciação!J92</f>
        <v>-35290827.450949833</v>
      </c>
      <c r="L40" s="145">
        <f>-Depreciação!K92</f>
        <v>-37577823.3742401</v>
      </c>
      <c r="M40" s="145">
        <f>-Depreciação!L92</f>
        <v>-37577823.3742401</v>
      </c>
      <c r="N40" s="145">
        <f>-Depreciação!M92</f>
        <v>-37577823.3742401</v>
      </c>
      <c r="O40" s="145">
        <f>-Depreciação!N92</f>
        <v>-37577823.3742401</v>
      </c>
      <c r="P40" s="145">
        <f>-Depreciação!O92</f>
        <v>-37577823.3742401</v>
      </c>
      <c r="Q40" s="145">
        <f>-Depreciação!P92</f>
        <v>-37577823.3742401</v>
      </c>
      <c r="R40" s="145">
        <f>-Depreciação!Q92</f>
        <v>-37577823.3742401</v>
      </c>
      <c r="S40" s="145">
        <f>-Depreciação!R92</f>
        <v>-37577823.3742401</v>
      </c>
      <c r="T40" s="145">
        <f>-Depreciação!S92</f>
        <v>-37577823.3742401</v>
      </c>
      <c r="U40" s="145">
        <f>-Depreciação!T92</f>
        <v>-37577823.3742401</v>
      </c>
      <c r="V40" s="145">
        <f>-Depreciação!U92</f>
        <v>-37577823.3742401</v>
      </c>
      <c r="W40" s="145">
        <f>-Depreciação!V92</f>
        <v>-35571052.247874729</v>
      </c>
      <c r="X40" s="145">
        <f>-Depreciação!W92</f>
        <v>-28339444.585296787</v>
      </c>
      <c r="Y40" s="145">
        <f>-Depreciação!X92</f>
        <v>-22903083.524953827</v>
      </c>
      <c r="Z40" s="145">
        <f>-Depreciação!Y92</f>
        <v>-15557578.041690288</v>
      </c>
      <c r="AA40" s="145">
        <f>-Depreciação!Z92</f>
        <v>-13270582.118400017</v>
      </c>
      <c r="AB40" s="145">
        <f>-Depreciação!AA92</f>
        <v>-13270582.118400017</v>
      </c>
      <c r="AC40" s="145">
        <f>-Depreciação!AB92</f>
        <v>-13270582.118400017</v>
      </c>
      <c r="AD40" s="145">
        <f>-Depreciação!AC92</f>
        <v>-13270582.118400017</v>
      </c>
      <c r="AE40" s="145">
        <f>-Depreciação!AD92</f>
        <v>-10528227.144227831</v>
      </c>
      <c r="AF40" s="145">
        <f>-Depreciação!AE92</f>
        <v>-7259008.7339036567</v>
      </c>
      <c r="AG40" s="145">
        <f>-Depreciação!AF92</f>
        <v>-5097060.4145826306</v>
      </c>
      <c r="AH40" s="145">
        <f>-Depreciação!AG92</f>
        <v>-2791155.6385125322</v>
      </c>
      <c r="AI40" s="145">
        <f>-Depreciação!AH92</f>
        <v>-302343.84379631461</v>
      </c>
      <c r="AJ40" s="145">
        <f>-Depreciação!AI92</f>
        <v>0</v>
      </c>
      <c r="AK40" s="145">
        <f>-Depreciação!AJ92</f>
        <v>0</v>
      </c>
      <c r="AL40" s="145">
        <f>-Depreciação!AK92</f>
        <v>0</v>
      </c>
      <c r="AM40" s="145">
        <f>-Depreciação!AL92</f>
        <v>0</v>
      </c>
    </row>
    <row r="41" spans="2:39" x14ac:dyDescent="0.2">
      <c r="D41" s="181"/>
    </row>
    <row r="42" spans="2:39" x14ac:dyDescent="0.2">
      <c r="B42" s="224" t="s">
        <v>118</v>
      </c>
      <c r="C42" s="225">
        <f t="shared" si="16"/>
        <v>2610592156.5552192</v>
      </c>
      <c r="D42" s="220"/>
      <c r="E42" s="226">
        <f>E37+E40</f>
        <v>-16347023.145833613</v>
      </c>
      <c r="F42" s="226">
        <f t="shared" ref="F42:AM42" si="17">F37+F40</f>
        <v>-5583889.7329283925</v>
      </c>
      <c r="G42" s="226">
        <f t="shared" si="17"/>
        <v>-16385058.500999302</v>
      </c>
      <c r="H42" s="226">
        <f t="shared" si="17"/>
        <v>-46323855.135802157</v>
      </c>
      <c r="I42" s="226">
        <f t="shared" si="17"/>
        <v>-53603504.824597724</v>
      </c>
      <c r="J42" s="226">
        <f t="shared" si="17"/>
        <v>-23125014.799084123</v>
      </c>
      <c r="K42" s="226">
        <f t="shared" si="17"/>
        <v>9621599.821274057</v>
      </c>
      <c r="L42" s="226">
        <f t="shared" si="17"/>
        <v>55439870.609649092</v>
      </c>
      <c r="M42" s="226">
        <f t="shared" si="17"/>
        <v>74977898.206187069</v>
      </c>
      <c r="N42" s="226">
        <f t="shared" si="17"/>
        <v>74977898.206187069</v>
      </c>
      <c r="O42" s="226">
        <f t="shared" si="17"/>
        <v>96741550.834778726</v>
      </c>
      <c r="P42" s="226">
        <f t="shared" si="17"/>
        <v>96738384.636075556</v>
      </c>
      <c r="Q42" s="226">
        <f t="shared" si="17"/>
        <v>96741550.834778726</v>
      </c>
      <c r="R42" s="226">
        <f t="shared" si="17"/>
        <v>96741550.834778726</v>
      </c>
      <c r="S42" s="226">
        <f t="shared" si="17"/>
        <v>96741550.834778726</v>
      </c>
      <c r="T42" s="226">
        <f t="shared" si="17"/>
        <v>96741550.834778726</v>
      </c>
      <c r="U42" s="226">
        <f t="shared" si="17"/>
        <v>96741550.834778726</v>
      </c>
      <c r="V42" s="226">
        <f t="shared" si="17"/>
        <v>14908424.177530855</v>
      </c>
      <c r="W42" s="226">
        <f t="shared" si="17"/>
        <v>74253420.773978591</v>
      </c>
      <c r="X42" s="226">
        <f t="shared" si="17"/>
        <v>24149969.165177338</v>
      </c>
      <c r="Y42" s="226">
        <f t="shared" si="17"/>
        <v>111416290.684065</v>
      </c>
      <c r="Z42" s="226">
        <f t="shared" si="17"/>
        <v>54547988.337375492</v>
      </c>
      <c r="AA42" s="226">
        <f t="shared" si="17"/>
        <v>114170043.53204496</v>
      </c>
      <c r="AB42" s="226">
        <f t="shared" si="17"/>
        <v>121045625.89191563</v>
      </c>
      <c r="AC42" s="226">
        <f t="shared" si="17"/>
        <v>114170043.53204496</v>
      </c>
      <c r="AD42" s="226">
        <f t="shared" si="17"/>
        <v>121048792.0906188</v>
      </c>
      <c r="AE42" s="226">
        <f t="shared" si="17"/>
        <v>123791147.06479099</v>
      </c>
      <c r="AF42" s="226">
        <f t="shared" si="17"/>
        <v>109444212.84652351</v>
      </c>
      <c r="AG42" s="226">
        <f t="shared" si="17"/>
        <v>111606161.16584454</v>
      </c>
      <c r="AH42" s="226">
        <f t="shared" si="17"/>
        <v>113908899.74321146</v>
      </c>
      <c r="AI42" s="226">
        <f t="shared" si="17"/>
        <v>134017030.36522251</v>
      </c>
      <c r="AJ42" s="226">
        <f t="shared" si="17"/>
        <v>134319374.20901883</v>
      </c>
      <c r="AK42" s="226">
        <f t="shared" si="17"/>
        <v>134319374.20901883</v>
      </c>
      <c r="AL42" s="226">
        <f t="shared" si="17"/>
        <v>134319374.20901883</v>
      </c>
      <c r="AM42" s="226">
        <f t="shared" si="17"/>
        <v>134319374.20901883</v>
      </c>
    </row>
    <row r="43" spans="2:39" x14ac:dyDescent="0.2">
      <c r="D43" s="181"/>
    </row>
    <row r="44" spans="2:39" x14ac:dyDescent="0.2">
      <c r="B44" s="143" t="s">
        <v>172</v>
      </c>
      <c r="C44" s="190">
        <f t="shared" si="16"/>
        <v>-157363771.65036497</v>
      </c>
      <c r="D44" s="181"/>
      <c r="E44" s="146">
        <f>-Financiamento!E21</f>
        <v>-1630807.8673947928</v>
      </c>
      <c r="F44" s="146">
        <f>-Financiamento!F21</f>
        <v>-3574927.8496731408</v>
      </c>
      <c r="G44" s="146">
        <f>-Financiamento!G21</f>
        <v>-5576607.8890229426</v>
      </c>
      <c r="H44" s="146">
        <f>-Financiamento!H21</f>
        <v>-9528140.5514114909</v>
      </c>
      <c r="I44" s="146">
        <f>-Financiamento!I21</f>
        <v>-12811990.502823325</v>
      </c>
      <c r="J44" s="146">
        <f>-Financiamento!J21</f>
        <v>-15314785.691186486</v>
      </c>
      <c r="K44" s="146">
        <f>-Financiamento!K21</f>
        <v>-15666078.908302773</v>
      </c>
      <c r="L44" s="146">
        <f>-Financiamento!L21</f>
        <v>-14872067.195685148</v>
      </c>
      <c r="M44" s="146">
        <f>-Financiamento!M21</f>
        <v>-13793076.265815187</v>
      </c>
      <c r="N44" s="146">
        <f>-Financiamento!N21</f>
        <v>-12480693.182403339</v>
      </c>
      <c r="O44" s="146">
        <f>-Financiamento!O21</f>
        <v>-11100309.220558034</v>
      </c>
      <c r="P44" s="146">
        <f>-Financiamento!P21</f>
        <v>-9719925.2587127276</v>
      </c>
      <c r="Q44" s="146">
        <f>-Financiamento!Q21</f>
        <v>-8339541.2968674218</v>
      </c>
      <c r="R44" s="146">
        <f>-Financiamento!R21</f>
        <v>-6959157.3350221151</v>
      </c>
      <c r="S44" s="146">
        <f>-Financiamento!S21</f>
        <v>-5578773.3731768094</v>
      </c>
      <c r="T44" s="146">
        <f>-Financiamento!T21</f>
        <v>-4198389.4113315018</v>
      </c>
      <c r="U44" s="146">
        <f>-Financiamento!U21</f>
        <v>-2953906.1051024282</v>
      </c>
      <c r="V44" s="146">
        <f>-Financiamento!V21</f>
        <v>-1871432.7973965497</v>
      </c>
      <c r="W44" s="146">
        <f>-Financiamento!W21</f>
        <v>-955766.1596364883</v>
      </c>
      <c r="X44" s="146">
        <f>-Financiamento!X21</f>
        <v>-369393.91040880582</v>
      </c>
      <c r="Y44" s="146">
        <f>-Financiamento!Y21</f>
        <v>-68000.878433462378</v>
      </c>
      <c r="Z44" s="146">
        <f>-Financiamento!Z21</f>
        <v>-1.4981827420401348E-9</v>
      </c>
      <c r="AA44" s="146">
        <f>-Financiamento!AA21</f>
        <v>-1.4981827420401348E-9</v>
      </c>
      <c r="AB44" s="146">
        <f>-Financiamento!AB21</f>
        <v>-1.4981827420401348E-9</v>
      </c>
      <c r="AC44" s="146">
        <f>-Financiamento!AC21</f>
        <v>-1.4981827420401348E-9</v>
      </c>
      <c r="AD44" s="146">
        <f>-Financiamento!AD21</f>
        <v>-1.4981827420401348E-9</v>
      </c>
      <c r="AE44" s="146">
        <f>-Financiamento!AE21</f>
        <v>-1.4981827420401348E-9</v>
      </c>
      <c r="AF44" s="146">
        <f>-Financiamento!AF21</f>
        <v>-1.4981827420401348E-9</v>
      </c>
      <c r="AG44" s="146">
        <f>-Financiamento!AG21</f>
        <v>-1.4981827420401348E-9</v>
      </c>
      <c r="AH44" s="146">
        <f>-Financiamento!AH21</f>
        <v>-1.4981827420401348E-9</v>
      </c>
      <c r="AI44" s="146">
        <f>-Financiamento!AI21</f>
        <v>-1.4981827420401348E-9</v>
      </c>
      <c r="AJ44" s="146">
        <f>-Financiamento!AJ21</f>
        <v>-1.4981827420401348E-9</v>
      </c>
      <c r="AK44" s="146">
        <f>-Financiamento!AK21</f>
        <v>-1.4981827420401348E-9</v>
      </c>
      <c r="AL44" s="146">
        <f>-Financiamento!AL21</f>
        <v>-1.4981827420401348E-9</v>
      </c>
      <c r="AM44" s="146">
        <f>-Financiamento!AM21</f>
        <v>-1.4981827420401348E-9</v>
      </c>
    </row>
    <row r="45" spans="2:39" x14ac:dyDescent="0.2">
      <c r="D45" s="181"/>
    </row>
    <row r="46" spans="2:39" x14ac:dyDescent="0.2">
      <c r="B46" s="224" t="s">
        <v>173</v>
      </c>
      <c r="C46" s="225">
        <f t="shared" si="16"/>
        <v>2453228384.9048543</v>
      </c>
      <c r="D46" s="220"/>
      <c r="E46" s="226">
        <f>E42+E44</f>
        <v>-17977831.013228405</v>
      </c>
      <c r="F46" s="226">
        <f t="shared" ref="F46:AM46" si="18">F42+F44</f>
        <v>-9158817.5826015323</v>
      </c>
      <c r="G46" s="226">
        <f t="shared" si="18"/>
        <v>-21961666.390022244</v>
      </c>
      <c r="H46" s="226">
        <f t="shared" si="18"/>
        <v>-55851995.687213644</v>
      </c>
      <c r="I46" s="226">
        <f t="shared" si="18"/>
        <v>-66415495.327421047</v>
      </c>
      <c r="J46" s="226">
        <f t="shared" si="18"/>
        <v>-38439800.490270607</v>
      </c>
      <c r="K46" s="226">
        <f t="shared" si="18"/>
        <v>-6044479.0870287158</v>
      </c>
      <c r="L46" s="226">
        <f t="shared" si="18"/>
        <v>40567803.413963944</v>
      </c>
      <c r="M46" s="226">
        <f t="shared" si="18"/>
        <v>61184821.940371886</v>
      </c>
      <c r="N46" s="226">
        <f t="shared" si="18"/>
        <v>62497205.023783728</v>
      </c>
      <c r="O46" s="226">
        <f t="shared" si="18"/>
        <v>85641241.614220694</v>
      </c>
      <c r="P46" s="226">
        <f t="shared" si="18"/>
        <v>87018459.377362832</v>
      </c>
      <c r="Q46" s="226">
        <f t="shared" si="18"/>
        <v>88402009.537911311</v>
      </c>
      <c r="R46" s="226">
        <f t="shared" si="18"/>
        <v>89782393.499756604</v>
      </c>
      <c r="S46" s="226">
        <f t="shared" si="18"/>
        <v>91162777.461601913</v>
      </c>
      <c r="T46" s="226">
        <f t="shared" si="18"/>
        <v>92543161.423447222</v>
      </c>
      <c r="U46" s="226">
        <f t="shared" si="18"/>
        <v>93787644.729676291</v>
      </c>
      <c r="V46" s="226">
        <f t="shared" si="18"/>
        <v>13036991.380134305</v>
      </c>
      <c r="W46" s="226">
        <f t="shared" si="18"/>
        <v>73297654.614342108</v>
      </c>
      <c r="X46" s="226">
        <f t="shared" si="18"/>
        <v>23780575.254768532</v>
      </c>
      <c r="Y46" s="226">
        <f t="shared" si="18"/>
        <v>111348289.80563153</v>
      </c>
      <c r="Z46" s="226">
        <f t="shared" si="18"/>
        <v>54547988.337375492</v>
      </c>
      <c r="AA46" s="226">
        <f t="shared" si="18"/>
        <v>114170043.53204496</v>
      </c>
      <c r="AB46" s="226">
        <f t="shared" si="18"/>
        <v>121045625.89191563</v>
      </c>
      <c r="AC46" s="226">
        <f t="shared" si="18"/>
        <v>114170043.53204496</v>
      </c>
      <c r="AD46" s="226">
        <f t="shared" si="18"/>
        <v>121048792.0906188</v>
      </c>
      <c r="AE46" s="226">
        <f t="shared" si="18"/>
        <v>123791147.06479099</v>
      </c>
      <c r="AF46" s="226">
        <f t="shared" si="18"/>
        <v>109444212.84652351</v>
      </c>
      <c r="AG46" s="226">
        <f t="shared" si="18"/>
        <v>111606161.16584454</v>
      </c>
      <c r="AH46" s="226">
        <f t="shared" si="18"/>
        <v>113908899.74321146</v>
      </c>
      <c r="AI46" s="226">
        <f t="shared" si="18"/>
        <v>134017030.36522251</v>
      </c>
      <c r="AJ46" s="226">
        <f t="shared" si="18"/>
        <v>134319374.20901883</v>
      </c>
      <c r="AK46" s="226">
        <f t="shared" si="18"/>
        <v>134319374.20901883</v>
      </c>
      <c r="AL46" s="226">
        <f t="shared" si="18"/>
        <v>134319374.20901883</v>
      </c>
      <c r="AM46" s="226">
        <f t="shared" si="18"/>
        <v>134319374.20901883</v>
      </c>
    </row>
    <row r="47" spans="2:39" x14ac:dyDescent="0.2">
      <c r="D47" s="181"/>
    </row>
    <row r="48" spans="2:39" x14ac:dyDescent="0.2">
      <c r="B48" s="224" t="s">
        <v>124</v>
      </c>
      <c r="C48" s="225">
        <f t="shared" si="16"/>
        <v>-833425650.86765051</v>
      </c>
      <c r="D48" s="220"/>
      <c r="E48" s="226">
        <f>E49+E50</f>
        <v>0</v>
      </c>
      <c r="F48" s="226">
        <f t="shared" ref="F48:AM48" si="19">F49+F50</f>
        <v>0</v>
      </c>
      <c r="G48" s="226">
        <f t="shared" si="19"/>
        <v>0</v>
      </c>
      <c r="H48" s="226">
        <f t="shared" si="19"/>
        <v>0</v>
      </c>
      <c r="I48" s="226">
        <f t="shared" si="19"/>
        <v>0</v>
      </c>
      <c r="J48" s="226">
        <f t="shared" si="19"/>
        <v>0</v>
      </c>
      <c r="K48" s="226">
        <f t="shared" si="19"/>
        <v>0</v>
      </c>
      <c r="L48" s="226">
        <f t="shared" si="19"/>
        <v>-9631137.2125234194</v>
      </c>
      <c r="M48" s="226">
        <f t="shared" si="19"/>
        <v>-14537987.621808508</v>
      </c>
      <c r="N48" s="226">
        <f t="shared" si="19"/>
        <v>-14850334.795660526</v>
      </c>
      <c r="O48" s="226">
        <f t="shared" si="19"/>
        <v>-20358615.504184525</v>
      </c>
      <c r="P48" s="226">
        <f t="shared" si="19"/>
        <v>-20686393.331812356</v>
      </c>
      <c r="Q48" s="226">
        <f t="shared" si="19"/>
        <v>-21015678.270022891</v>
      </c>
      <c r="R48" s="226">
        <f t="shared" si="19"/>
        <v>-21344209.652942073</v>
      </c>
      <c r="S48" s="226">
        <f t="shared" si="19"/>
        <v>-21672741.035861257</v>
      </c>
      <c r="T48" s="226">
        <f t="shared" si="19"/>
        <v>-22001272.418780439</v>
      </c>
      <c r="U48" s="226">
        <f t="shared" si="19"/>
        <v>-29752357.187469482</v>
      </c>
      <c r="V48" s="226">
        <f t="shared" si="19"/>
        <v>-4408577.0692456635</v>
      </c>
      <c r="W48" s="226">
        <f t="shared" si="19"/>
        <v>-24897202.568876319</v>
      </c>
      <c r="X48" s="226">
        <f t="shared" si="19"/>
        <v>-8061395.5866213012</v>
      </c>
      <c r="Y48" s="226">
        <f t="shared" si="19"/>
        <v>-37834418.533914723</v>
      </c>
      <c r="Z48" s="226">
        <f t="shared" si="19"/>
        <v>-18522316.034707665</v>
      </c>
      <c r="AA48" s="226">
        <f t="shared" si="19"/>
        <v>-38793814.800895289</v>
      </c>
      <c r="AB48" s="226">
        <f t="shared" si="19"/>
        <v>-41131512.803251311</v>
      </c>
      <c r="AC48" s="226">
        <f t="shared" si="19"/>
        <v>-38793814.800895289</v>
      </c>
      <c r="AD48" s="226">
        <f t="shared" si="19"/>
        <v>-41132589.310810395</v>
      </c>
      <c r="AE48" s="226">
        <f t="shared" si="19"/>
        <v>-42064990.002028942</v>
      </c>
      <c r="AF48" s="226">
        <f t="shared" si="19"/>
        <v>-37187032.36781799</v>
      </c>
      <c r="AG48" s="226">
        <f t="shared" si="19"/>
        <v>-37922094.796387143</v>
      </c>
      <c r="AH48" s="226">
        <f t="shared" si="19"/>
        <v>-38705025.912691899</v>
      </c>
      <c r="AI48" s="226">
        <f t="shared" si="19"/>
        <v>-45541790.324175656</v>
      </c>
      <c r="AJ48" s="226">
        <f t="shared" si="19"/>
        <v>-45644587.231066398</v>
      </c>
      <c r="AK48" s="226">
        <f t="shared" si="19"/>
        <v>-45644587.231066398</v>
      </c>
      <c r="AL48" s="226">
        <f t="shared" si="19"/>
        <v>-45644587.231066398</v>
      </c>
      <c r="AM48" s="226">
        <f t="shared" si="19"/>
        <v>-45644587.231066398</v>
      </c>
    </row>
    <row r="49" spans="2:40" x14ac:dyDescent="0.2">
      <c r="B49" s="144" t="s">
        <v>119</v>
      </c>
      <c r="C49" s="190">
        <f t="shared" si="16"/>
        <v>-612635096.22621357</v>
      </c>
      <c r="D49" s="192"/>
      <c r="E49" s="146">
        <f>-IF(E85=0,0,'Premissas Adotadas'!$K$19*E85+'Premissas Adotadas'!$K$20*(E85-'Premissas Adotadas'!$K$21))</f>
        <v>0</v>
      </c>
      <c r="F49" s="146">
        <f>-IF(F85=0,0,'Premissas Adotadas'!$K$19*F85+'Premissas Adotadas'!$K$20*(F85-'Premissas Adotadas'!$K$21))</f>
        <v>0</v>
      </c>
      <c r="G49" s="146">
        <f>-IF(G85=0,0,'Premissas Adotadas'!$K$19*G85+'Premissas Adotadas'!$K$20*(G85-'Premissas Adotadas'!$K$21))</f>
        <v>0</v>
      </c>
      <c r="H49" s="146">
        <f>-IF(H85=0,0,'Premissas Adotadas'!$K$19*H85+'Premissas Adotadas'!$K$20*(H85-'Premissas Adotadas'!$K$21))</f>
        <v>0</v>
      </c>
      <c r="I49" s="146">
        <f>-IF(I85=0,0,'Premissas Adotadas'!$K$19*I85+'Premissas Adotadas'!$K$20*(I85-'Premissas Adotadas'!$K$21))</f>
        <v>0</v>
      </c>
      <c r="J49" s="146">
        <f>-IF(J85=0,0,'Premissas Adotadas'!$K$19*J85+'Premissas Adotadas'!$K$20*(J85-'Premissas Adotadas'!$K$21))</f>
        <v>0</v>
      </c>
      <c r="K49" s="146">
        <f>-IF(K85=0,0,'Premissas Adotadas'!$K$19*K85+'Premissas Adotadas'!$K$20*(K85-'Premissas Adotadas'!$K$21))</f>
        <v>0</v>
      </c>
      <c r="L49" s="146">
        <f>-IF(L85=0,0,'Premissas Adotadas'!$K$19*L85+'Premissas Adotadas'!$K$20*(L85-'Premissas Adotadas'!$K$21))</f>
        <v>-7075365.5974436905</v>
      </c>
      <c r="M49" s="146">
        <f>-IF(M85=0,0,'Premissas Adotadas'!$K$19*M85+'Premissas Adotadas'!$K$20*(M85-'Premissas Adotadas'!$K$21))</f>
        <v>-10683343.83956508</v>
      </c>
      <c r="N49" s="146">
        <f>-IF(N85=0,0,'Premissas Adotadas'!$K$19*N85+'Premissas Adotadas'!$K$20*(N85-'Premissas Adotadas'!$K$21))</f>
        <v>-10913010.879162151</v>
      </c>
      <c r="O49" s="146">
        <f>-IF(O85=0,0,'Premissas Adotadas'!$K$19*O85+'Premissas Adotadas'!$K$20*(O85-'Premissas Adotadas'!$K$21))</f>
        <v>-14963217.282488622</v>
      </c>
      <c r="P49" s="146">
        <f>-IF(P85=0,0,'Premissas Adotadas'!$K$19*P85+'Premissas Adotadas'!$K$20*(P85-'Premissas Adotadas'!$K$21))</f>
        <v>-15204230.391038496</v>
      </c>
      <c r="Q49" s="146">
        <f>-IF(Q85=0,0,'Premissas Adotadas'!$K$19*Q85+'Premissas Adotadas'!$K$20*(Q85-'Premissas Adotadas'!$K$21))</f>
        <v>-15446351.669134479</v>
      </c>
      <c r="R49" s="146">
        <f>-IF(R85=0,0,'Premissas Adotadas'!$K$19*R85+'Premissas Adotadas'!$K$20*(R85-'Premissas Adotadas'!$K$21))</f>
        <v>-15687918.862457406</v>
      </c>
      <c r="S49" s="146">
        <f>-IF(S85=0,0,'Premissas Adotadas'!$K$19*S85+'Premissas Adotadas'!$K$20*(S85-'Premissas Adotadas'!$K$21))</f>
        <v>-15929486.055780336</v>
      </c>
      <c r="T49" s="146">
        <f>-IF(T85=0,0,'Premissas Adotadas'!$K$19*T85+'Premissas Adotadas'!$K$20*(T85-'Premissas Adotadas'!$K$21))</f>
        <v>-16171053.249103263</v>
      </c>
      <c r="U49" s="146">
        <f>-IF(U85=0,0,'Premissas Adotadas'!$K$19*U85+'Premissas Adotadas'!$K$20*(U85-'Premissas Adotadas'!$K$21))</f>
        <v>-21870380.284904033</v>
      </c>
      <c r="V49" s="146">
        <f>-IF(V85=0,0,'Premissas Adotadas'!$K$19*V85+'Premissas Adotadas'!$K$20*(V85-'Premissas Adotadas'!$K$21))</f>
        <v>-3235247.8450335762</v>
      </c>
      <c r="W49" s="146">
        <f>-IF(W85=0,0,'Premissas Adotadas'!$K$19*W85+'Premissas Adotadas'!$K$20*(W85-'Premissas Adotadas'!$K$21))</f>
        <v>-18300413.653585527</v>
      </c>
      <c r="X49" s="146">
        <f>-IF(X85=0,0,'Premissas Adotadas'!$K$19*X85+'Premissas Adotadas'!$K$20*(X85-'Premissas Adotadas'!$K$21))</f>
        <v>-5921143.8136921329</v>
      </c>
      <c r="Y49" s="146">
        <f>-IF(Y85=0,0,'Premissas Adotadas'!$K$19*Y85+'Premissas Adotadas'!$K$20*(Y85-'Premissas Adotadas'!$K$21))</f>
        <v>-27813072.451407883</v>
      </c>
      <c r="Z49" s="146">
        <f>-IF(Z85=0,0,'Premissas Adotadas'!$K$19*Z85+'Premissas Adotadas'!$K$20*(Z85-'Premissas Adotadas'!$K$21))</f>
        <v>-13612997.084343873</v>
      </c>
      <c r="AA49" s="146">
        <f>-IF(AA85=0,0,'Premissas Adotadas'!$K$19*AA85+'Premissas Adotadas'!$K$20*(AA85-'Premissas Adotadas'!$K$21))</f>
        <v>-28518510.883011241</v>
      </c>
      <c r="AB49" s="146">
        <f>-IF(AB85=0,0,'Premissas Adotadas'!$K$19*AB85+'Premissas Adotadas'!$K$20*(AB85-'Premissas Adotadas'!$K$21))</f>
        <v>-30237406.472978909</v>
      </c>
      <c r="AC49" s="146">
        <f>-IF(AC85=0,0,'Premissas Adotadas'!$K$19*AC85+'Premissas Adotadas'!$K$20*(AC85-'Premissas Adotadas'!$K$21))</f>
        <v>-28518510.883011241</v>
      </c>
      <c r="AD49" s="146">
        <f>-IF(AD85=0,0,'Premissas Adotadas'!$K$19*AD85+'Premissas Adotadas'!$K$20*(AD85-'Premissas Adotadas'!$K$21))</f>
        <v>-30238198.022654705</v>
      </c>
      <c r="AE49" s="146">
        <f>-IF(AE85=0,0,'Premissas Adotadas'!$K$19*AE85+'Premissas Adotadas'!$K$20*(AE85-'Premissas Adotadas'!$K$21))</f>
        <v>-30923786.766197748</v>
      </c>
      <c r="AF49" s="146">
        <f>-IF(AF85=0,0,'Premissas Adotadas'!$K$19*AF85+'Premissas Adotadas'!$K$20*(AF85-'Premissas Adotadas'!$K$21))</f>
        <v>-27337053.211630877</v>
      </c>
      <c r="AG49" s="146">
        <f>-IF(AG85=0,0,'Premissas Adotadas'!$K$19*AG85+'Premissas Adotadas'!$K$20*(AG85-'Premissas Adotadas'!$K$21))</f>
        <v>-27877540.291461136</v>
      </c>
      <c r="AH49" s="146">
        <f>-IF(AH85=0,0,'Premissas Adotadas'!$K$19*AH85+'Premissas Adotadas'!$K$20*(AH85-'Premissas Adotadas'!$K$21))</f>
        <v>-28453224.935802869</v>
      </c>
      <c r="AI49" s="146">
        <f>-IF(AI85=0,0,'Premissas Adotadas'!$K$19*AI85+'Premissas Adotadas'!$K$20*(AI85-'Premissas Adotadas'!$K$21))</f>
        <v>-33480257.591305628</v>
      </c>
      <c r="AJ49" s="146">
        <f>-IF(AJ85=0,0,'Premissas Adotadas'!$K$19*AJ85+'Premissas Adotadas'!$K$20*(AJ85-'Premissas Adotadas'!$K$21))</f>
        <v>-33555843.552254707</v>
      </c>
      <c r="AK49" s="146">
        <f>-IF(AK85=0,0,'Premissas Adotadas'!$K$19*AK85+'Premissas Adotadas'!$K$20*(AK85-'Premissas Adotadas'!$K$21))</f>
        <v>-33555843.552254707</v>
      </c>
      <c r="AL49" s="146">
        <f>-IF(AL85=0,0,'Premissas Adotadas'!$K$19*AL85+'Premissas Adotadas'!$K$20*(AL85-'Premissas Adotadas'!$K$21))</f>
        <v>-33555843.552254707</v>
      </c>
      <c r="AM49" s="146">
        <f>-IF(AM85=0,0,'Premissas Adotadas'!$K$19*AM85+'Premissas Adotadas'!$K$20*(AM85-'Premissas Adotadas'!$K$21))</f>
        <v>-33555843.552254707</v>
      </c>
    </row>
    <row r="50" spans="2:40" x14ac:dyDescent="0.2">
      <c r="B50" s="144" t="s">
        <v>120</v>
      </c>
      <c r="C50" s="190">
        <f t="shared" si="16"/>
        <v>-220790554.64143696</v>
      </c>
      <c r="D50" s="192"/>
      <c r="E50" s="146">
        <f>-'Premissas Adotadas'!$K$22*E85</f>
        <v>0</v>
      </c>
      <c r="F50" s="146">
        <f>-'Premissas Adotadas'!$K$22*F85</f>
        <v>0</v>
      </c>
      <c r="G50" s="146">
        <f>-'Premissas Adotadas'!$K$22*G85</f>
        <v>0</v>
      </c>
      <c r="H50" s="146">
        <f>-'Premissas Adotadas'!$K$22*H85</f>
        <v>0</v>
      </c>
      <c r="I50" s="146">
        <f>-'Premissas Adotadas'!$K$22*I85</f>
        <v>0</v>
      </c>
      <c r="J50" s="146">
        <f>-'Premissas Adotadas'!$K$22*J85</f>
        <v>0</v>
      </c>
      <c r="K50" s="146">
        <f>-'Premissas Adotadas'!$K$22*K85</f>
        <v>0</v>
      </c>
      <c r="L50" s="146">
        <f>-'Premissas Adotadas'!$K$22*L85</f>
        <v>-2555771.6150797284</v>
      </c>
      <c r="M50" s="146">
        <f>-'Premissas Adotadas'!$K$22*M85</f>
        <v>-3854643.7822434288</v>
      </c>
      <c r="N50" s="146">
        <f>-'Premissas Adotadas'!$K$22*N85</f>
        <v>-3937323.9164983742</v>
      </c>
      <c r="O50" s="146">
        <f>-'Premissas Adotadas'!$K$22*O85</f>
        <v>-5395398.2216959037</v>
      </c>
      <c r="P50" s="146">
        <f>-'Premissas Adotadas'!$K$22*P85</f>
        <v>-5482162.9407738587</v>
      </c>
      <c r="Q50" s="146">
        <f>-'Premissas Adotadas'!$K$22*Q85</f>
        <v>-5569326.6008884124</v>
      </c>
      <c r="R50" s="146">
        <f>-'Premissas Adotadas'!$K$22*R85</f>
        <v>-5656290.7904846659</v>
      </c>
      <c r="S50" s="146">
        <f>-'Premissas Adotadas'!$K$22*S85</f>
        <v>-5743254.9800809212</v>
      </c>
      <c r="T50" s="146">
        <f>-'Premissas Adotadas'!$K$22*T85</f>
        <v>-5830219.1696771747</v>
      </c>
      <c r="U50" s="146">
        <f>-'Premissas Adotadas'!$K$22*U85</f>
        <v>-7881976.9025654513</v>
      </c>
      <c r="V50" s="146">
        <f>-'Premissas Adotadas'!$K$22*V85</f>
        <v>-1173329.2242120875</v>
      </c>
      <c r="W50" s="146">
        <f>-'Premissas Adotadas'!$K$22*W85</f>
        <v>-6596788.9152907897</v>
      </c>
      <c r="X50" s="146">
        <f>-'Premissas Adotadas'!$K$22*X85</f>
        <v>-2140251.7729291678</v>
      </c>
      <c r="Y50" s="146">
        <f>-'Premissas Adotadas'!$K$22*Y85</f>
        <v>-10021346.082506837</v>
      </c>
      <c r="Z50" s="146">
        <f>-'Premissas Adotadas'!$K$22*Z85</f>
        <v>-4909318.9503637943</v>
      </c>
      <c r="AA50" s="146">
        <f>-'Premissas Adotadas'!$K$22*AA85</f>
        <v>-10275303.917884046</v>
      </c>
      <c r="AB50" s="146">
        <f>-'Premissas Adotadas'!$K$22*AB85</f>
        <v>-10894106.330272406</v>
      </c>
      <c r="AC50" s="146">
        <f>-'Premissas Adotadas'!$K$22*AC85</f>
        <v>-10275303.917884046</v>
      </c>
      <c r="AD50" s="146">
        <f>-'Premissas Adotadas'!$K$22*AD85</f>
        <v>-10894391.288155692</v>
      </c>
      <c r="AE50" s="146">
        <f>-'Premissas Adotadas'!$K$22*AE85</f>
        <v>-11141203.23583119</v>
      </c>
      <c r="AF50" s="146">
        <f>-'Premissas Adotadas'!$K$22*AF85</f>
        <v>-9849979.1561871152</v>
      </c>
      <c r="AG50" s="146">
        <f>-'Premissas Adotadas'!$K$22*AG85</f>
        <v>-10044554.504926009</v>
      </c>
      <c r="AH50" s="146">
        <f>-'Premissas Adotadas'!$K$22*AH85</f>
        <v>-10251800.976889031</v>
      </c>
      <c r="AI50" s="146">
        <f>-'Premissas Adotadas'!$K$22*AI85</f>
        <v>-12061532.732870026</v>
      </c>
      <c r="AJ50" s="146">
        <f>-'Premissas Adotadas'!$K$22*AJ85</f>
        <v>-12088743.678811694</v>
      </c>
      <c r="AK50" s="146">
        <f>-'Premissas Adotadas'!$K$22*AK85</f>
        <v>-12088743.678811694</v>
      </c>
      <c r="AL50" s="146">
        <f>-'Premissas Adotadas'!$K$22*AL85</f>
        <v>-12088743.678811694</v>
      </c>
      <c r="AM50" s="146">
        <f>-'Premissas Adotadas'!$K$22*AM85</f>
        <v>-12088743.678811694</v>
      </c>
    </row>
    <row r="51" spans="2:40" x14ac:dyDescent="0.2">
      <c r="D51" s="181"/>
    </row>
    <row r="52" spans="2:40" x14ac:dyDescent="0.2">
      <c r="B52" s="224" t="s">
        <v>125</v>
      </c>
      <c r="C52" s="225">
        <f t="shared" si="16"/>
        <v>1619802734.0372045</v>
      </c>
      <c r="D52" s="220"/>
      <c r="E52" s="226">
        <f>E46+E48</f>
        <v>-17977831.013228405</v>
      </c>
      <c r="F52" s="226">
        <f t="shared" ref="F52:AM52" si="20">F46+F48</f>
        <v>-9158817.5826015323</v>
      </c>
      <c r="G52" s="226">
        <f t="shared" si="20"/>
        <v>-21961666.390022244</v>
      </c>
      <c r="H52" s="226">
        <f t="shared" si="20"/>
        <v>-55851995.687213644</v>
      </c>
      <c r="I52" s="226">
        <f t="shared" si="20"/>
        <v>-66415495.327421047</v>
      </c>
      <c r="J52" s="226">
        <f t="shared" si="20"/>
        <v>-38439800.490270607</v>
      </c>
      <c r="K52" s="226">
        <f t="shared" si="20"/>
        <v>-6044479.0870287158</v>
      </c>
      <c r="L52" s="226">
        <f t="shared" si="20"/>
        <v>30936666.201440524</v>
      </c>
      <c r="M52" s="226">
        <f t="shared" si="20"/>
        <v>46646834.318563379</v>
      </c>
      <c r="N52" s="226">
        <f t="shared" si="20"/>
        <v>47646870.228123203</v>
      </c>
      <c r="O52" s="226">
        <f t="shared" si="20"/>
        <v>65282626.110036165</v>
      </c>
      <c r="P52" s="226">
        <f t="shared" si="20"/>
        <v>66332066.04555048</v>
      </c>
      <c r="Q52" s="226">
        <f t="shared" si="20"/>
        <v>67386331.267888427</v>
      </c>
      <c r="R52" s="226">
        <f t="shared" si="20"/>
        <v>68438183.846814528</v>
      </c>
      <c r="S52" s="226">
        <f t="shared" si="20"/>
        <v>69490036.425740659</v>
      </c>
      <c r="T52" s="226">
        <f t="shared" si="20"/>
        <v>70541889.004666775</v>
      </c>
      <c r="U52" s="226">
        <f t="shared" si="20"/>
        <v>64035287.542206809</v>
      </c>
      <c r="V52" s="226">
        <f t="shared" si="20"/>
        <v>8628414.3108886406</v>
      </c>
      <c r="W52" s="226">
        <f t="shared" si="20"/>
        <v>48400452.04546579</v>
      </c>
      <c r="X52" s="226">
        <f t="shared" si="20"/>
        <v>15719179.668147231</v>
      </c>
      <c r="Y52" s="226">
        <f t="shared" si="20"/>
        <v>73513871.271716803</v>
      </c>
      <c r="Z52" s="226">
        <f t="shared" si="20"/>
        <v>36025672.302667826</v>
      </c>
      <c r="AA52" s="226">
        <f t="shared" si="20"/>
        <v>75376228.731149673</v>
      </c>
      <c r="AB52" s="226">
        <f t="shared" si="20"/>
        <v>79914113.088664323</v>
      </c>
      <c r="AC52" s="226">
        <f t="shared" si="20"/>
        <v>75376228.731149673</v>
      </c>
      <c r="AD52" s="226">
        <f t="shared" si="20"/>
        <v>79916202.779808402</v>
      </c>
      <c r="AE52" s="226">
        <f t="shared" si="20"/>
        <v>81726157.062762052</v>
      </c>
      <c r="AF52" s="226">
        <f t="shared" si="20"/>
        <v>72257180.478705525</v>
      </c>
      <c r="AG52" s="226">
        <f t="shared" si="20"/>
        <v>73684066.369457394</v>
      </c>
      <c r="AH52" s="226">
        <f t="shared" si="20"/>
        <v>75203873.830519557</v>
      </c>
      <c r="AI52" s="226">
        <f t="shared" si="20"/>
        <v>88475240.041046858</v>
      </c>
      <c r="AJ52" s="226">
        <f t="shared" si="20"/>
        <v>88674786.977952421</v>
      </c>
      <c r="AK52" s="226">
        <f t="shared" si="20"/>
        <v>88674786.977952421</v>
      </c>
      <c r="AL52" s="226">
        <f t="shared" si="20"/>
        <v>88674786.977952421</v>
      </c>
      <c r="AM52" s="226">
        <f t="shared" si="20"/>
        <v>88674786.977952421</v>
      </c>
    </row>
    <row r="53" spans="2:40" x14ac:dyDescent="0.2">
      <c r="D53" s="181"/>
    </row>
    <row r="54" spans="2:40" x14ac:dyDescent="0.2">
      <c r="B54" s="221" t="s">
        <v>126</v>
      </c>
      <c r="C54" s="222"/>
      <c r="D54" s="223"/>
      <c r="E54" s="222">
        <v>1</v>
      </c>
      <c r="F54" s="222">
        <v>2</v>
      </c>
      <c r="G54" s="222">
        <v>3</v>
      </c>
      <c r="H54" s="222">
        <v>4</v>
      </c>
      <c r="I54" s="222">
        <v>5</v>
      </c>
      <c r="J54" s="222">
        <v>6</v>
      </c>
      <c r="K54" s="222">
        <v>7</v>
      </c>
      <c r="L54" s="222">
        <v>8</v>
      </c>
      <c r="M54" s="222">
        <v>9</v>
      </c>
      <c r="N54" s="222">
        <v>10</v>
      </c>
      <c r="O54" s="222">
        <v>11</v>
      </c>
      <c r="P54" s="222">
        <v>12</v>
      </c>
      <c r="Q54" s="222">
        <v>13</v>
      </c>
      <c r="R54" s="222">
        <v>14</v>
      </c>
      <c r="S54" s="222">
        <v>15</v>
      </c>
      <c r="T54" s="222">
        <v>16</v>
      </c>
      <c r="U54" s="222">
        <v>17</v>
      </c>
      <c r="V54" s="222">
        <v>18</v>
      </c>
      <c r="W54" s="222">
        <v>19</v>
      </c>
      <c r="X54" s="222">
        <v>20</v>
      </c>
      <c r="Y54" s="222">
        <v>21</v>
      </c>
      <c r="Z54" s="222">
        <v>22</v>
      </c>
      <c r="AA54" s="222">
        <v>23</v>
      </c>
      <c r="AB54" s="222">
        <v>24</v>
      </c>
      <c r="AC54" s="222">
        <v>25</v>
      </c>
      <c r="AD54" s="222">
        <v>26</v>
      </c>
      <c r="AE54" s="222">
        <v>27</v>
      </c>
      <c r="AF54" s="222">
        <v>28</v>
      </c>
      <c r="AG54" s="222">
        <v>29</v>
      </c>
      <c r="AH54" s="222">
        <v>30</v>
      </c>
      <c r="AI54" s="222">
        <v>31</v>
      </c>
      <c r="AJ54" s="222">
        <v>32</v>
      </c>
      <c r="AK54" s="222">
        <v>33</v>
      </c>
      <c r="AL54" s="222">
        <v>34</v>
      </c>
      <c r="AM54" s="222">
        <v>35</v>
      </c>
    </row>
    <row r="55" spans="2:40" x14ac:dyDescent="0.2">
      <c r="B55" s="224" t="s">
        <v>128</v>
      </c>
      <c r="C55" s="225">
        <f t="shared" ref="C55:C66" si="21">SUM(E55:AM55)</f>
        <v>2365693248.4247313</v>
      </c>
      <c r="D55" s="220"/>
      <c r="E55" s="226">
        <f>SUM(E56:E58)</f>
        <v>-16347023.145833613</v>
      </c>
      <c r="F55" s="226">
        <f t="shared" ref="F55:AM55" si="22">SUM(F56:F58)</f>
        <v>-2841534.7587562092</v>
      </c>
      <c r="G55" s="226">
        <f t="shared" si="22"/>
        <v>-13490898.674992267</v>
      </c>
      <c r="H55" s="226">
        <f t="shared" si="22"/>
        <v>-47728853.486488625</v>
      </c>
      <c r="I55" s="226">
        <f t="shared" si="22"/>
        <v>-49031858.742526926</v>
      </c>
      <c r="J55" s="226">
        <f t="shared" si="22"/>
        <v>-27429853.686486311</v>
      </c>
      <c r="K55" s="226">
        <f t="shared" si="22"/>
        <v>25350465.367212541</v>
      </c>
      <c r="L55" s="226">
        <f t="shared" si="22"/>
        <v>68294323.75587225</v>
      </c>
      <c r="M55" s="226">
        <f t="shared" si="22"/>
        <v>91823946.176916406</v>
      </c>
      <c r="N55" s="226">
        <f t="shared" si="22"/>
        <v>97705386.784766644</v>
      </c>
      <c r="O55" s="226">
        <f t="shared" si="22"/>
        <v>108758993.28401245</v>
      </c>
      <c r="P55" s="226">
        <f t="shared" si="22"/>
        <v>113629814.6785033</v>
      </c>
      <c r="Q55" s="226">
        <f t="shared" si="22"/>
        <v>113303695.93899593</v>
      </c>
      <c r="R55" s="226">
        <f t="shared" si="22"/>
        <v>112975164.55607675</v>
      </c>
      <c r="S55" s="226">
        <f t="shared" si="22"/>
        <v>112646633.17315757</v>
      </c>
      <c r="T55" s="226">
        <f t="shared" si="22"/>
        <v>112318101.79023838</v>
      </c>
      <c r="U55" s="226">
        <f t="shared" si="22"/>
        <v>104567017.02154934</v>
      </c>
      <c r="V55" s="226">
        <f t="shared" si="22"/>
        <v>73186291.967047155</v>
      </c>
      <c r="W55" s="226">
        <f t="shared" si="22"/>
        <v>67057030.453373283</v>
      </c>
      <c r="X55" s="226">
        <f t="shared" si="22"/>
        <v>62298258.163456544</v>
      </c>
      <c r="Y55" s="226">
        <f t="shared" si="22"/>
        <v>71376334.190582246</v>
      </c>
      <c r="Z55" s="226">
        <f t="shared" si="22"/>
        <v>71490106.408058137</v>
      </c>
      <c r="AA55" s="226">
        <f t="shared" si="22"/>
        <v>70776570.849945977</v>
      </c>
      <c r="AB55" s="226">
        <f t="shared" si="22"/>
        <v>91148079.142968044</v>
      </c>
      <c r="AC55" s="226">
        <f t="shared" si="22"/>
        <v>90683426.913645998</v>
      </c>
      <c r="AD55" s="226">
        <f t="shared" si="22"/>
        <v>91150168.834112138</v>
      </c>
      <c r="AE55" s="226">
        <f t="shared" si="22"/>
        <v>92254384.206989884</v>
      </c>
      <c r="AF55" s="226">
        <f t="shared" si="22"/>
        <v>84717954.633431017</v>
      </c>
      <c r="AG55" s="226">
        <f t="shared" si="22"/>
        <v>78781126.784040034</v>
      </c>
      <c r="AH55" s="226">
        <f t="shared" si="22"/>
        <v>77995029.469032109</v>
      </c>
      <c r="AI55" s="226">
        <f t="shared" si="22"/>
        <v>83575818.464021325</v>
      </c>
      <c r="AJ55" s="226">
        <f t="shared" si="22"/>
        <v>88674786.977952421</v>
      </c>
      <c r="AK55" s="226">
        <f t="shared" si="22"/>
        <v>88674786.977952421</v>
      </c>
      <c r="AL55" s="226">
        <f t="shared" si="22"/>
        <v>88674786.977952421</v>
      </c>
      <c r="AM55" s="226">
        <f t="shared" si="22"/>
        <v>88674786.977952421</v>
      </c>
    </row>
    <row r="56" spans="2:40" x14ac:dyDescent="0.2">
      <c r="B56" s="144" t="s">
        <v>116</v>
      </c>
      <c r="C56" s="190">
        <f t="shared" si="21"/>
        <v>3306965328.3528204</v>
      </c>
      <c r="D56" s="192"/>
      <c r="E56" s="146">
        <f>E37</f>
        <v>-16347023.145833613</v>
      </c>
      <c r="F56" s="146">
        <f t="shared" ref="F56:AM56" si="23">F37</f>
        <v>-2841534.7587562092</v>
      </c>
      <c r="G56" s="146">
        <f t="shared" si="23"/>
        <v>-10373485.116502943</v>
      </c>
      <c r="H56" s="146">
        <f t="shared" si="23"/>
        <v>-36143562.305619396</v>
      </c>
      <c r="I56" s="146">
        <f t="shared" si="23"/>
        <v>-33885699.555766925</v>
      </c>
      <c r="J56" s="146">
        <f t="shared" si="23"/>
        <v>4517963.3248058558</v>
      </c>
      <c r="K56" s="146">
        <f t="shared" si="23"/>
        <v>44912427.27222389</v>
      </c>
      <c r="L56" s="146">
        <f t="shared" si="23"/>
        <v>93017693.983889192</v>
      </c>
      <c r="M56" s="146">
        <f t="shared" si="23"/>
        <v>112555721.58042717</v>
      </c>
      <c r="N56" s="146">
        <f t="shared" si="23"/>
        <v>112555721.58042717</v>
      </c>
      <c r="O56" s="146">
        <f t="shared" si="23"/>
        <v>134319374.20901883</v>
      </c>
      <c r="P56" s="146">
        <f t="shared" si="23"/>
        <v>134316208.01031566</v>
      </c>
      <c r="Q56" s="146">
        <f t="shared" si="23"/>
        <v>134319374.20901883</v>
      </c>
      <c r="R56" s="146">
        <f t="shared" si="23"/>
        <v>134319374.20901883</v>
      </c>
      <c r="S56" s="146">
        <f t="shared" si="23"/>
        <v>134319374.20901883</v>
      </c>
      <c r="T56" s="146">
        <f t="shared" si="23"/>
        <v>134319374.20901883</v>
      </c>
      <c r="U56" s="146">
        <f t="shared" si="23"/>
        <v>134319374.20901883</v>
      </c>
      <c r="V56" s="146">
        <f t="shared" si="23"/>
        <v>52486247.551770955</v>
      </c>
      <c r="W56" s="146">
        <f t="shared" si="23"/>
        <v>109824473.02185333</v>
      </c>
      <c r="X56" s="146">
        <f t="shared" si="23"/>
        <v>52489413.750474125</v>
      </c>
      <c r="Y56" s="146">
        <f t="shared" si="23"/>
        <v>134319374.20901883</v>
      </c>
      <c r="Z56" s="146">
        <f t="shared" si="23"/>
        <v>70105566.379065782</v>
      </c>
      <c r="AA56" s="146">
        <f t="shared" si="23"/>
        <v>127440625.65044498</v>
      </c>
      <c r="AB56" s="146">
        <f t="shared" si="23"/>
        <v>134316208.01031566</v>
      </c>
      <c r="AC56" s="146">
        <f t="shared" si="23"/>
        <v>127440625.65044498</v>
      </c>
      <c r="AD56" s="146">
        <f t="shared" si="23"/>
        <v>134319374.20901883</v>
      </c>
      <c r="AE56" s="146">
        <f t="shared" si="23"/>
        <v>134319374.20901883</v>
      </c>
      <c r="AF56" s="146">
        <f t="shared" si="23"/>
        <v>116703221.58042717</v>
      </c>
      <c r="AG56" s="146">
        <f t="shared" si="23"/>
        <v>116703221.58042717</v>
      </c>
      <c r="AH56" s="146">
        <f t="shared" si="23"/>
        <v>116700055.381724</v>
      </c>
      <c r="AI56" s="146">
        <f t="shared" si="23"/>
        <v>134319374.20901883</v>
      </c>
      <c r="AJ56" s="146">
        <f t="shared" si="23"/>
        <v>134319374.20901883</v>
      </c>
      <c r="AK56" s="146">
        <f t="shared" si="23"/>
        <v>134319374.20901883</v>
      </c>
      <c r="AL56" s="146">
        <f t="shared" si="23"/>
        <v>134319374.20901883</v>
      </c>
      <c r="AM56" s="146">
        <f t="shared" si="23"/>
        <v>134319374.20901883</v>
      </c>
    </row>
    <row r="57" spans="2:40" x14ac:dyDescent="0.2">
      <c r="B57" s="144" t="s">
        <v>127</v>
      </c>
      <c r="C57" s="190">
        <f t="shared" si="21"/>
        <v>-833425650.86765051</v>
      </c>
      <c r="D57" s="192"/>
      <c r="E57" s="146">
        <f>E48</f>
        <v>0</v>
      </c>
      <c r="F57" s="146">
        <f t="shared" ref="F57:AM57" si="24">F48</f>
        <v>0</v>
      </c>
      <c r="G57" s="146">
        <f t="shared" si="24"/>
        <v>0</v>
      </c>
      <c r="H57" s="146">
        <f t="shared" si="24"/>
        <v>0</v>
      </c>
      <c r="I57" s="146">
        <f t="shared" si="24"/>
        <v>0</v>
      </c>
      <c r="J57" s="146">
        <f t="shared" si="24"/>
        <v>0</v>
      </c>
      <c r="K57" s="146">
        <f t="shared" si="24"/>
        <v>0</v>
      </c>
      <c r="L57" s="146">
        <f t="shared" si="24"/>
        <v>-9631137.2125234194</v>
      </c>
      <c r="M57" s="146">
        <f t="shared" si="24"/>
        <v>-14537987.621808508</v>
      </c>
      <c r="N57" s="146">
        <f t="shared" si="24"/>
        <v>-14850334.795660526</v>
      </c>
      <c r="O57" s="146">
        <f t="shared" si="24"/>
        <v>-20358615.504184525</v>
      </c>
      <c r="P57" s="146">
        <f t="shared" si="24"/>
        <v>-20686393.331812356</v>
      </c>
      <c r="Q57" s="146">
        <f t="shared" si="24"/>
        <v>-21015678.270022891</v>
      </c>
      <c r="R57" s="146">
        <f t="shared" si="24"/>
        <v>-21344209.652942073</v>
      </c>
      <c r="S57" s="146">
        <f t="shared" si="24"/>
        <v>-21672741.035861257</v>
      </c>
      <c r="T57" s="146">
        <f t="shared" si="24"/>
        <v>-22001272.418780439</v>
      </c>
      <c r="U57" s="146">
        <f t="shared" si="24"/>
        <v>-29752357.187469482</v>
      </c>
      <c r="V57" s="146">
        <f t="shared" si="24"/>
        <v>-4408577.0692456635</v>
      </c>
      <c r="W57" s="146">
        <f t="shared" si="24"/>
        <v>-24897202.568876319</v>
      </c>
      <c r="X57" s="146">
        <f t="shared" si="24"/>
        <v>-8061395.5866213012</v>
      </c>
      <c r="Y57" s="146">
        <f t="shared" si="24"/>
        <v>-37834418.533914723</v>
      </c>
      <c r="Z57" s="146">
        <f t="shared" si="24"/>
        <v>-18522316.034707665</v>
      </c>
      <c r="AA57" s="146">
        <f t="shared" si="24"/>
        <v>-38793814.800895289</v>
      </c>
      <c r="AB57" s="146">
        <f t="shared" si="24"/>
        <v>-41131512.803251311</v>
      </c>
      <c r="AC57" s="146">
        <f t="shared" si="24"/>
        <v>-38793814.800895289</v>
      </c>
      <c r="AD57" s="146">
        <f t="shared" si="24"/>
        <v>-41132589.310810395</v>
      </c>
      <c r="AE57" s="146">
        <f t="shared" si="24"/>
        <v>-42064990.002028942</v>
      </c>
      <c r="AF57" s="146">
        <f t="shared" si="24"/>
        <v>-37187032.36781799</v>
      </c>
      <c r="AG57" s="146">
        <f t="shared" si="24"/>
        <v>-37922094.796387143</v>
      </c>
      <c r="AH57" s="146">
        <f t="shared" si="24"/>
        <v>-38705025.912691899</v>
      </c>
      <c r="AI57" s="146">
        <f t="shared" si="24"/>
        <v>-45541790.324175656</v>
      </c>
      <c r="AJ57" s="146">
        <f t="shared" si="24"/>
        <v>-45644587.231066398</v>
      </c>
      <c r="AK57" s="146">
        <f t="shared" si="24"/>
        <v>-45644587.231066398</v>
      </c>
      <c r="AL57" s="146">
        <f t="shared" si="24"/>
        <v>-45644587.231066398</v>
      </c>
      <c r="AM57" s="146">
        <f t="shared" si="24"/>
        <v>-45644587.231066398</v>
      </c>
    </row>
    <row r="58" spans="2:40" x14ac:dyDescent="0.2">
      <c r="B58" s="144" t="s">
        <v>151</v>
      </c>
      <c r="C58" s="190">
        <f t="shared" si="21"/>
        <v>-107846429.06043969</v>
      </c>
      <c r="D58" s="192"/>
      <c r="E58" s="146">
        <f>-E10*'Premissas Adotadas'!$K$31/360</f>
        <v>0</v>
      </c>
      <c r="F58" s="146">
        <f>-(F10-E10)*'Premissas Adotadas'!$K$31/360</f>
        <v>0</v>
      </c>
      <c r="G58" s="146">
        <f>-(G10-F10)*'Premissas Adotadas'!$K$31/360</f>
        <v>-3117413.5584893245</v>
      </c>
      <c r="H58" s="146">
        <f>-(H10-G10)*'Premissas Adotadas'!$K$31/360</f>
        <v>-11585291.180869225</v>
      </c>
      <c r="I58" s="146">
        <f>-(I10-H10)*'Premissas Adotadas'!$K$31/360</f>
        <v>-15146159.186760001</v>
      </c>
      <c r="J58" s="146">
        <f>-(J10-I10)*'Premissas Adotadas'!$K$31/360</f>
        <v>-31947817.011292167</v>
      </c>
      <c r="K58" s="146">
        <f>-(K10-J10)*'Premissas Adotadas'!$K$31/360</f>
        <v>-19561961.905011348</v>
      </c>
      <c r="L58" s="146">
        <f>-(L10-K10)*'Premissas Adotadas'!$K$31/360</f>
        <v>-15092233.015493533</v>
      </c>
      <c r="M58" s="146">
        <f>-(M10-L10)*'Premissas Adotadas'!$K$31/360</f>
        <v>-6193787.7817022512</v>
      </c>
      <c r="N58" s="146">
        <f>-(N10-M10)*'Premissas Adotadas'!$K$31/360</f>
        <v>0</v>
      </c>
      <c r="O58" s="146">
        <f>-(O10-N10)*'Premissas Adotadas'!$K$31/360</f>
        <v>-5201765.4208218493</v>
      </c>
      <c r="P58" s="146">
        <f>-(P10-O10)*'Premissas Adotadas'!$K$31/360</f>
        <v>0</v>
      </c>
      <c r="Q58" s="146">
        <f>-(Q10-P10)*'Premissas Adotadas'!$K$31/360</f>
        <v>0</v>
      </c>
      <c r="R58" s="146">
        <f>-(R10-Q10)*'Premissas Adotadas'!$K$31/360</f>
        <v>0</v>
      </c>
      <c r="S58" s="146">
        <f>-(S10-R10)*'Premissas Adotadas'!$K$31/360</f>
        <v>0</v>
      </c>
      <c r="T58" s="146">
        <f>-(T10-S10)*'Premissas Adotadas'!$K$31/360</f>
        <v>0</v>
      </c>
      <c r="U58" s="146">
        <f>-(U10-T10)*'Premissas Adotadas'!$K$31/360</f>
        <v>0</v>
      </c>
      <c r="V58" s="146">
        <f>-(V10-U10)*'Premissas Adotadas'!$K$31/360</f>
        <v>25108621.484521866</v>
      </c>
      <c r="W58" s="146">
        <f>-(W10-V10)*'Premissas Adotadas'!$K$31/360</f>
        <v>-17870239.999603715</v>
      </c>
      <c r="X58" s="146">
        <f>-(X10-W10)*'Premissas Adotadas'!$K$31/360</f>
        <v>17870239.999603715</v>
      </c>
      <c r="Y58" s="146">
        <f>-(Y10-X10)*'Premissas Adotadas'!$K$31/360</f>
        <v>-25108621.484521866</v>
      </c>
      <c r="Z58" s="146">
        <f>-(Z10-Y10)*'Premissas Adotadas'!$K$31/360</f>
        <v>19906856.063700017</v>
      </c>
      <c r="AA58" s="146">
        <f>-(AA10-Z10)*'Premissas Adotadas'!$K$31/360</f>
        <v>-17870239.999603715</v>
      </c>
      <c r="AB58" s="146">
        <f>-(AB10-AA10)*'Premissas Adotadas'!$K$31/360</f>
        <v>-2036616.0640962992</v>
      </c>
      <c r="AC58" s="146">
        <f>-(AC10-AB10)*'Premissas Adotadas'!$K$31/360</f>
        <v>2036616.0640962992</v>
      </c>
      <c r="AD58" s="146">
        <f>-(AD10-AC10)*'Premissas Adotadas'!$K$31/360</f>
        <v>-2036616.0640962992</v>
      </c>
      <c r="AE58" s="146">
        <f>-(AE10-AD10)*'Premissas Adotadas'!$K$31/360</f>
        <v>0</v>
      </c>
      <c r="AF58" s="146">
        <f>-(AF10-AE10)*'Premissas Adotadas'!$K$31/360</f>
        <v>5201765.4208218493</v>
      </c>
      <c r="AG58" s="146">
        <f>-(AG10-AF10)*'Premissas Adotadas'!$K$31/360</f>
        <v>0</v>
      </c>
      <c r="AH58" s="146">
        <f>-(AH10-AG10)*'Premissas Adotadas'!$K$31/360</f>
        <v>0</v>
      </c>
      <c r="AI58" s="146">
        <f>-(AI10-AH10)*'Premissas Adotadas'!$K$31/360</f>
        <v>-5201765.4208218493</v>
      </c>
      <c r="AJ58" s="146">
        <f>-(AJ10-AI10)*'Premissas Adotadas'!$K$31/360</f>
        <v>0</v>
      </c>
      <c r="AK58" s="146">
        <f>-(AK10-AJ10)*'Premissas Adotadas'!$K$31/360</f>
        <v>0</v>
      </c>
      <c r="AL58" s="146">
        <f>-(AL10-AK10)*'Premissas Adotadas'!$K$31/360</f>
        <v>0</v>
      </c>
      <c r="AM58" s="146">
        <f>-(AM10-AL10)*'Premissas Adotadas'!$K$31/360</f>
        <v>0</v>
      </c>
      <c r="AN58" s="146"/>
    </row>
    <row r="59" spans="2:40" x14ac:dyDescent="0.2">
      <c r="B59" s="224" t="s">
        <v>129</v>
      </c>
      <c r="C59" s="225">
        <f t="shared" si="21"/>
        <v>-696373171.7976017</v>
      </c>
      <c r="D59" s="220"/>
      <c r="E59" s="226">
        <f t="shared" ref="E59:AM59" si="25">SUM(E60:E61)</f>
        <v>-68558874.354304582</v>
      </c>
      <c r="F59" s="226">
        <f t="shared" si="25"/>
        <v>-81730460.258104399</v>
      </c>
      <c r="G59" s="226">
        <f t="shared" si="25"/>
        <v>-84150274.878506303</v>
      </c>
      <c r="H59" s="226">
        <f t="shared" si="25"/>
        <v>-166121734.3404215</v>
      </c>
      <c r="I59" s="226">
        <f t="shared" si="25"/>
        <v>-143765710.77304989</v>
      </c>
      <c r="J59" s="226">
        <f t="shared" si="25"/>
        <v>-117741178.34386092</v>
      </c>
      <c r="K59" s="226">
        <f t="shared" si="25"/>
        <v>-34304938.849354073</v>
      </c>
      <c r="L59" s="226">
        <f t="shared" si="25"/>
        <v>0</v>
      </c>
      <c r="M59" s="226">
        <f t="shared" si="25"/>
        <v>0</v>
      </c>
      <c r="N59" s="226">
        <f t="shared" si="25"/>
        <v>0</v>
      </c>
      <c r="O59" s="226">
        <f t="shared" si="25"/>
        <v>0</v>
      </c>
      <c r="P59" s="226">
        <f t="shared" si="25"/>
        <v>0</v>
      </c>
      <c r="Q59" s="226">
        <f t="shared" si="25"/>
        <v>0</v>
      </c>
      <c r="R59" s="226">
        <f t="shared" si="25"/>
        <v>0</v>
      </c>
      <c r="S59" s="226">
        <f t="shared" si="25"/>
        <v>0</v>
      </c>
      <c r="T59" s="226">
        <f t="shared" si="25"/>
        <v>0</v>
      </c>
      <c r="U59" s="226">
        <f t="shared" si="25"/>
        <v>0</v>
      </c>
      <c r="V59" s="226">
        <f t="shared" si="25"/>
        <v>0</v>
      </c>
      <c r="W59" s="226">
        <f t="shared" si="25"/>
        <v>0</v>
      </c>
      <c r="X59" s="226">
        <f t="shared" si="25"/>
        <v>0</v>
      </c>
      <c r="Y59" s="226">
        <f t="shared" si="25"/>
        <v>0</v>
      </c>
      <c r="Z59" s="226">
        <f t="shared" si="25"/>
        <v>0</v>
      </c>
      <c r="AA59" s="226">
        <f t="shared" si="25"/>
        <v>0</v>
      </c>
      <c r="AB59" s="226">
        <f t="shared" si="25"/>
        <v>0</v>
      </c>
      <c r="AC59" s="226">
        <f t="shared" si="25"/>
        <v>0</v>
      </c>
      <c r="AD59" s="226">
        <f t="shared" si="25"/>
        <v>0</v>
      </c>
      <c r="AE59" s="226">
        <f t="shared" si="25"/>
        <v>0</v>
      </c>
      <c r="AF59" s="226">
        <f t="shared" si="25"/>
        <v>0</v>
      </c>
      <c r="AG59" s="226">
        <f t="shared" si="25"/>
        <v>0</v>
      </c>
      <c r="AH59" s="226">
        <f t="shared" si="25"/>
        <v>0</v>
      </c>
      <c r="AI59" s="226">
        <f t="shared" si="25"/>
        <v>0</v>
      </c>
      <c r="AJ59" s="226">
        <f t="shared" si="25"/>
        <v>0</v>
      </c>
      <c r="AK59" s="226">
        <f t="shared" si="25"/>
        <v>0</v>
      </c>
      <c r="AL59" s="226">
        <f t="shared" si="25"/>
        <v>0</v>
      </c>
      <c r="AM59" s="226">
        <f t="shared" si="25"/>
        <v>0</v>
      </c>
    </row>
    <row r="60" spans="2:40" x14ac:dyDescent="0.2">
      <c r="B60" s="144" t="s">
        <v>57</v>
      </c>
      <c r="C60" s="190">
        <f t="shared" si="21"/>
        <v>-331764552.9600004</v>
      </c>
      <c r="D60" s="192"/>
      <c r="E60" s="146">
        <f>-'Cronograma IUC'!D48*'Premissas Adotadas'!$L$8</f>
        <v>-68558874.354304582</v>
      </c>
      <c r="F60" s="146">
        <f>-'Cronograma IUC'!E48*'Premissas Adotadas'!$L$8</f>
        <v>-81730460.258104399</v>
      </c>
      <c r="G60" s="146">
        <f>-'Cronograma IUC'!F48*'Premissas Adotadas'!$L$8</f>
        <v>-54048707.983025655</v>
      </c>
      <c r="H60" s="146">
        <f>-'Cronograma IUC'!G48*'Premissas Adotadas'!$L$8</f>
        <v>-57647619.40175245</v>
      </c>
      <c r="I60" s="146">
        <f>-'Cronograma IUC'!H48*'Premissas Adotadas'!$L$8</f>
        <v>-62220294.867905438</v>
      </c>
      <c r="J60" s="146">
        <f>-'Cronograma IUC'!I48*'Premissas Adotadas'!$L$8</f>
        <v>-7558596.0949078659</v>
      </c>
      <c r="K60" s="146">
        <f>-'Cronograma IUC'!J48*'Premissas Adotadas'!$L$8</f>
        <v>0</v>
      </c>
      <c r="L60" s="146">
        <f>-'Cronograma IUC'!K48*'Premissas Adotadas'!$L$8</f>
        <v>0</v>
      </c>
      <c r="M60" s="146">
        <f>-'Cronograma IUC'!L48*'Premissas Adotadas'!$L$8</f>
        <v>0</v>
      </c>
      <c r="N60" s="146">
        <f>-'Cronograma IUC'!M48*'Premissas Adotadas'!$L$8</f>
        <v>0</v>
      </c>
      <c r="O60" s="146">
        <f>-'Cronograma IUC'!N48*'Premissas Adotadas'!$L$8</f>
        <v>0</v>
      </c>
      <c r="P60" s="146">
        <f>-'Cronograma IUC'!O48*'Premissas Adotadas'!$L$8</f>
        <v>0</v>
      </c>
      <c r="Q60" s="146">
        <f>-'Cronograma IUC'!P48*'Premissas Adotadas'!$L$8</f>
        <v>0</v>
      </c>
      <c r="R60" s="146">
        <f>-'Cronograma IUC'!Q48*'Premissas Adotadas'!$L$8</f>
        <v>0</v>
      </c>
      <c r="S60" s="146">
        <f>-'Cronograma IUC'!R48*'Premissas Adotadas'!$L$8</f>
        <v>0</v>
      </c>
      <c r="T60" s="146">
        <f>-'Cronograma IUC'!S48*'Premissas Adotadas'!$L$8</f>
        <v>0</v>
      </c>
      <c r="U60" s="146">
        <f>-'Cronograma IUC'!T48*'Premissas Adotadas'!$L$8</f>
        <v>0</v>
      </c>
      <c r="V60" s="146">
        <f>-'Cronograma IUC'!U48*'Premissas Adotadas'!$L$8</f>
        <v>0</v>
      </c>
      <c r="W60" s="146">
        <f>-'Cronograma IUC'!V48*'Premissas Adotadas'!$L$8</f>
        <v>0</v>
      </c>
      <c r="X60" s="146">
        <f>-'Cronograma IUC'!W48*'Premissas Adotadas'!$L$8</f>
        <v>0</v>
      </c>
      <c r="Y60" s="146">
        <f>-'Cronograma IUC'!X48*'Premissas Adotadas'!$L$8</f>
        <v>0</v>
      </c>
      <c r="Z60" s="146">
        <f>-'Cronograma IUC'!Y48*'Premissas Adotadas'!$L$8</f>
        <v>0</v>
      </c>
      <c r="AA60" s="146">
        <f>-'Cronograma IUC'!Z48*'Premissas Adotadas'!$L$8</f>
        <v>0</v>
      </c>
      <c r="AB60" s="146">
        <f>-'Cronograma IUC'!AA48*'Premissas Adotadas'!$L$8</f>
        <v>0</v>
      </c>
      <c r="AC60" s="146">
        <f>-'Cronograma IUC'!AB48*'Premissas Adotadas'!$L$8</f>
        <v>0</v>
      </c>
      <c r="AD60" s="146">
        <f>-'Cronograma IUC'!AC48*'Premissas Adotadas'!$L$8</f>
        <v>0</v>
      </c>
      <c r="AE60" s="146">
        <f>-'Cronograma IUC'!AD48*'Premissas Adotadas'!$L$8</f>
        <v>0</v>
      </c>
      <c r="AF60" s="146">
        <f>-'Cronograma IUC'!AE48*'Premissas Adotadas'!$L$8</f>
        <v>0</v>
      </c>
      <c r="AG60" s="146">
        <f>-'Cronograma IUC'!AF48*'Premissas Adotadas'!$L$8</f>
        <v>0</v>
      </c>
      <c r="AH60" s="146">
        <f>-'Cronograma IUC'!AG48*'Premissas Adotadas'!$L$8</f>
        <v>0</v>
      </c>
      <c r="AI60" s="146">
        <f>-'Cronograma IUC'!AH48*'Premissas Adotadas'!$L$8</f>
        <v>0</v>
      </c>
      <c r="AJ60" s="146">
        <f>-'Cronograma IUC'!AI48*'Premissas Adotadas'!$L$8</f>
        <v>0</v>
      </c>
      <c r="AK60" s="146">
        <f>-'Cronograma IUC'!AJ48*'Premissas Adotadas'!$L$8</f>
        <v>0</v>
      </c>
      <c r="AL60" s="146">
        <f>-'Cronograma IUC'!AK48*'Premissas Adotadas'!$L$8</f>
        <v>0</v>
      </c>
      <c r="AM60" s="146">
        <f>-'Cronograma IUC'!AL48*'Premissas Adotadas'!$L$8</f>
        <v>0</v>
      </c>
    </row>
    <row r="61" spans="2:40" x14ac:dyDescent="0.2">
      <c r="B61" s="144" t="s">
        <v>24</v>
      </c>
      <c r="C61" s="190">
        <f t="shared" si="21"/>
        <v>-364608618.8376013</v>
      </c>
      <c r="D61" s="192"/>
      <c r="E61" s="146">
        <f>-('Cronograma de Implantação'!C17*'Premissas Adotadas'!$E$26+'Cronograma de Implantação'!C37*'Premissas Adotadas'!$E$27+'Cronograma de Implantação'!C41*'Premissas Adotadas'!$E$28+'Cronograma de Implantação'!C45*'Premissas Adotadas'!$E$29)</f>
        <v>0</v>
      </c>
      <c r="F61" s="146">
        <f>-('Cronograma de Implantação'!D17*'Premissas Adotadas'!$E$26+'Cronograma de Implantação'!D37*'Premissas Adotadas'!$E$27+'Cronograma de Implantação'!D41*'Premissas Adotadas'!$E$28+'Cronograma de Implantação'!D45*'Premissas Adotadas'!$E$29)</f>
        <v>0</v>
      </c>
      <c r="G61" s="146">
        <f>-('Cronograma de Implantação'!E17*'Premissas Adotadas'!$E$26+'Cronograma de Implantação'!E37*'Premissas Adotadas'!$E$27+'Cronograma de Implantação'!E41*'Premissas Adotadas'!$E$28+'Cronograma de Implantação'!E45*'Premissas Adotadas'!$E$29)</f>
        <v>-30101566.895480655</v>
      </c>
      <c r="H61" s="146">
        <f>-('Cronograma de Implantação'!F17*'Premissas Adotadas'!$E$26+'Cronograma de Implantação'!F37*'Premissas Adotadas'!$E$27+'Cronograma de Implantação'!F41*'Premissas Adotadas'!$E$28+'Cronograma de Implantação'!F45*'Premissas Adotadas'!$E$29)</f>
        <v>-108474114.93866906</v>
      </c>
      <c r="I61" s="146">
        <f>-('Cronograma de Implantação'!G17*'Premissas Adotadas'!$E$26+'Cronograma de Implantação'!G37*'Premissas Adotadas'!$E$27+'Cronograma de Implantação'!G41*'Premissas Adotadas'!$E$28+'Cronograma de Implantação'!G45*'Premissas Adotadas'!$E$29)</f>
        <v>-81545415.905144438</v>
      </c>
      <c r="J61" s="146">
        <f>-('Cronograma de Implantação'!H17*'Premissas Adotadas'!$E$26+'Cronograma de Implantação'!H37*'Premissas Adotadas'!$E$27+'Cronograma de Implantação'!H41*'Premissas Adotadas'!$E$28+'Cronograma de Implantação'!H45*'Premissas Adotadas'!$E$29)</f>
        <v>-110182582.24895306</v>
      </c>
      <c r="K61" s="146">
        <f>-('Cronograma de Implantação'!I17*'Premissas Adotadas'!$E$26+'Cronograma de Implantação'!I37*'Premissas Adotadas'!$E$27+'Cronograma de Implantação'!I41*'Premissas Adotadas'!$E$28+'Cronograma de Implantação'!I45*'Premissas Adotadas'!$E$29)</f>
        <v>-34304938.849354073</v>
      </c>
      <c r="L61" s="146">
        <f>-('Cronograma de Implantação'!J17*'Premissas Adotadas'!$E$26+'Cronograma de Implantação'!J37*'Premissas Adotadas'!$E$27+'Cronograma de Implantação'!J41*'Premissas Adotadas'!$E$28+'Cronograma de Implantação'!J45*'Premissas Adotadas'!$E$29)</f>
        <v>0</v>
      </c>
      <c r="M61" s="146">
        <f>-('Cronograma de Implantação'!K17*'Premissas Adotadas'!$E$26+'Cronograma de Implantação'!K37*'Premissas Adotadas'!$E$27+'Cronograma de Implantação'!K41*'Premissas Adotadas'!$E$28+'Cronograma de Implantação'!K45*'Premissas Adotadas'!$E$29)</f>
        <v>0</v>
      </c>
      <c r="N61" s="146">
        <f>-('Cronograma de Implantação'!L17*'Premissas Adotadas'!$E$26+'Cronograma de Implantação'!L37*'Premissas Adotadas'!$E$27+'Cronograma de Implantação'!L41*'Premissas Adotadas'!$E$28+'Cronograma de Implantação'!L45*'Premissas Adotadas'!$E$29)</f>
        <v>0</v>
      </c>
      <c r="O61" s="146">
        <f>-('Cronograma de Implantação'!M17*'Premissas Adotadas'!$E$26+'Cronograma de Implantação'!M37*'Premissas Adotadas'!$E$27+'Cronograma de Implantação'!M41*'Premissas Adotadas'!$E$28+'Cronograma de Implantação'!M45*'Premissas Adotadas'!$E$29)</f>
        <v>0</v>
      </c>
      <c r="P61" s="146">
        <f>-('Cronograma de Implantação'!N17*'Premissas Adotadas'!$E$26+'Cronograma de Implantação'!N37*'Premissas Adotadas'!$E$27+'Cronograma de Implantação'!N41*'Premissas Adotadas'!$E$28+'Cronograma de Implantação'!N45*'Premissas Adotadas'!$E$29)</f>
        <v>0</v>
      </c>
      <c r="Q61" s="146">
        <f>-('Cronograma de Implantação'!O17*'Premissas Adotadas'!$E$26+'Cronograma de Implantação'!O37*'Premissas Adotadas'!$E$27+'Cronograma de Implantação'!O41*'Premissas Adotadas'!$E$28+'Cronograma de Implantação'!O45*'Premissas Adotadas'!$E$29)</f>
        <v>0</v>
      </c>
      <c r="R61" s="146">
        <f>-('Cronograma de Implantação'!P17*'Premissas Adotadas'!$E$26+'Cronograma de Implantação'!P37*'Premissas Adotadas'!$E$27+'Cronograma de Implantação'!P41*'Premissas Adotadas'!$E$28+'Cronograma de Implantação'!P45*'Premissas Adotadas'!$E$29)</f>
        <v>0</v>
      </c>
      <c r="S61" s="146">
        <f>-('Cronograma de Implantação'!Q17*'Premissas Adotadas'!$E$26+'Cronograma de Implantação'!Q37*'Premissas Adotadas'!$E$27+'Cronograma de Implantação'!Q41*'Premissas Adotadas'!$E$28+'Cronograma de Implantação'!Q45*'Premissas Adotadas'!$E$29)</f>
        <v>0</v>
      </c>
      <c r="T61" s="146">
        <f>-('Cronograma de Implantação'!R17*'Premissas Adotadas'!$E$26+'Cronograma de Implantação'!R37*'Premissas Adotadas'!$E$27+'Cronograma de Implantação'!R41*'Premissas Adotadas'!$E$28+'Cronograma de Implantação'!R45*'Premissas Adotadas'!$E$29)</f>
        <v>0</v>
      </c>
      <c r="U61" s="146">
        <f>-('Cronograma de Implantação'!S17*'Premissas Adotadas'!$E$26+'Cronograma de Implantação'!S37*'Premissas Adotadas'!$E$27+'Cronograma de Implantação'!S41*'Premissas Adotadas'!$E$28+'Cronograma de Implantação'!S45*'Premissas Adotadas'!$E$29)</f>
        <v>0</v>
      </c>
      <c r="V61" s="146">
        <f>-('Cronograma de Implantação'!T17*'Premissas Adotadas'!$E$26+'Cronograma de Implantação'!T37*'Premissas Adotadas'!$E$27+'Cronograma de Implantação'!T41*'Premissas Adotadas'!$E$28+'Cronograma de Implantação'!T45*'Premissas Adotadas'!$E$29)</f>
        <v>0</v>
      </c>
      <c r="W61" s="146">
        <f>-('Cronograma de Implantação'!U17*'Premissas Adotadas'!$E$26+'Cronograma de Implantação'!U37*'Premissas Adotadas'!$E$27+'Cronograma de Implantação'!U41*'Premissas Adotadas'!$E$28+'Cronograma de Implantação'!U45*'Premissas Adotadas'!$E$29)</f>
        <v>0</v>
      </c>
      <c r="X61" s="146">
        <f>-('Cronograma de Implantação'!V17*'Premissas Adotadas'!$E$26+'Cronograma de Implantação'!V37*'Premissas Adotadas'!$E$27+'Cronograma de Implantação'!V41*'Premissas Adotadas'!$E$28+'Cronograma de Implantação'!V45*'Premissas Adotadas'!$E$29)</f>
        <v>0</v>
      </c>
      <c r="Y61" s="146">
        <f>-('Cronograma de Implantação'!W17*'Premissas Adotadas'!$E$26+'Cronograma de Implantação'!W37*'Premissas Adotadas'!$E$27+'Cronograma de Implantação'!W41*'Premissas Adotadas'!$E$28+'Cronograma de Implantação'!W45*'Premissas Adotadas'!$E$29)</f>
        <v>0</v>
      </c>
      <c r="Z61" s="146">
        <f>-('Cronograma de Implantação'!X17*'Premissas Adotadas'!$E$26+'Cronograma de Implantação'!X37*'Premissas Adotadas'!$E$27+'Cronograma de Implantação'!X41*'Premissas Adotadas'!$E$28+'Cronograma de Implantação'!X45*'Premissas Adotadas'!$E$29)</f>
        <v>0</v>
      </c>
      <c r="AA61" s="146">
        <f>-('Cronograma de Implantação'!Y17*'Premissas Adotadas'!$E$26+'Cronograma de Implantação'!Y37*'Premissas Adotadas'!$E$27+'Cronograma de Implantação'!Y41*'Premissas Adotadas'!$E$28+'Cronograma de Implantação'!Y45*'Premissas Adotadas'!$E$29)</f>
        <v>0</v>
      </c>
      <c r="AB61" s="146">
        <f>-('Cronograma de Implantação'!Z17*'Premissas Adotadas'!$E$26+'Cronograma de Implantação'!Z37*'Premissas Adotadas'!$E$27+'Cronograma de Implantação'!Z41*'Premissas Adotadas'!$E$28+'Cronograma de Implantação'!Z45*'Premissas Adotadas'!$E$29)</f>
        <v>0</v>
      </c>
      <c r="AC61" s="146">
        <f>-('Cronograma de Implantação'!AA17*'Premissas Adotadas'!$E$26+'Cronograma de Implantação'!AA37*'Premissas Adotadas'!$E$27+'Cronograma de Implantação'!AA41*'Premissas Adotadas'!$E$28+'Cronograma de Implantação'!AA45*'Premissas Adotadas'!$E$29)</f>
        <v>0</v>
      </c>
      <c r="AD61" s="146">
        <f>-('Cronograma de Implantação'!AB17*'Premissas Adotadas'!$E$26+'Cronograma de Implantação'!AB37*'Premissas Adotadas'!$E$27+'Cronograma de Implantação'!AB41*'Premissas Adotadas'!$E$28+'Cronograma de Implantação'!AB45*'Premissas Adotadas'!$E$29)</f>
        <v>0</v>
      </c>
      <c r="AE61" s="146">
        <f>-('Cronograma de Implantação'!AC17*'Premissas Adotadas'!$E$26+'Cronograma de Implantação'!AC37*'Premissas Adotadas'!$E$27+'Cronograma de Implantação'!AC41*'Premissas Adotadas'!$E$28+'Cronograma de Implantação'!AC45*'Premissas Adotadas'!$E$29)</f>
        <v>0</v>
      </c>
      <c r="AF61" s="146">
        <f>-('Cronograma de Implantação'!AD17*'Premissas Adotadas'!$E$26+'Cronograma de Implantação'!AD37*'Premissas Adotadas'!$E$27+'Cronograma de Implantação'!AD41*'Premissas Adotadas'!$E$28+'Cronograma de Implantação'!AD45*'Premissas Adotadas'!$E$29)</f>
        <v>0</v>
      </c>
      <c r="AG61" s="146">
        <f>-('Cronograma de Implantação'!AE17*'Premissas Adotadas'!$E$26+'Cronograma de Implantação'!AE37*'Premissas Adotadas'!$E$27+'Cronograma de Implantação'!AE41*'Premissas Adotadas'!$E$28+'Cronograma de Implantação'!AE45*'Premissas Adotadas'!$E$29)</f>
        <v>0</v>
      </c>
      <c r="AH61" s="146">
        <f>-('Cronograma de Implantação'!AF17*'Premissas Adotadas'!$E$26+'Cronograma de Implantação'!AF37*'Premissas Adotadas'!$E$27+'Cronograma de Implantação'!AF41*'Premissas Adotadas'!$E$28+'Cronograma de Implantação'!AF45*'Premissas Adotadas'!$E$29)</f>
        <v>0</v>
      </c>
      <c r="AI61" s="146">
        <f>-('Cronograma de Implantação'!AG17*'Premissas Adotadas'!$E$26+'Cronograma de Implantação'!AG37*'Premissas Adotadas'!$E$27+'Cronograma de Implantação'!AG41*'Premissas Adotadas'!$E$28+'Cronograma de Implantação'!AG45*'Premissas Adotadas'!$E$29)</f>
        <v>0</v>
      </c>
      <c r="AJ61" s="146">
        <f>-('Cronograma de Implantação'!AH17*'Premissas Adotadas'!$E$26+'Cronograma de Implantação'!AH37*'Premissas Adotadas'!$E$27+'Cronograma de Implantação'!AH41*'Premissas Adotadas'!$E$28+'Cronograma de Implantação'!AH45*'Premissas Adotadas'!$E$29)</f>
        <v>0</v>
      </c>
      <c r="AK61" s="146">
        <f>-('Cronograma de Implantação'!AI17*'Premissas Adotadas'!$E$26+'Cronograma de Implantação'!AI37*'Premissas Adotadas'!$E$27+'Cronograma de Implantação'!AI41*'Premissas Adotadas'!$E$28+'Cronograma de Implantação'!AI45*'Premissas Adotadas'!$E$29)</f>
        <v>0</v>
      </c>
      <c r="AL61" s="146">
        <f>-('Cronograma de Implantação'!AJ17*'Premissas Adotadas'!$E$26+'Cronograma de Implantação'!AJ37*'Premissas Adotadas'!$E$27+'Cronograma de Implantação'!AJ41*'Premissas Adotadas'!$E$28+'Cronograma de Implantação'!AJ45*'Premissas Adotadas'!$E$29)</f>
        <v>0</v>
      </c>
      <c r="AM61" s="146">
        <f>-('Cronograma de Implantação'!AK17*'Premissas Adotadas'!$E$26+'Cronograma de Implantação'!AK37*'Premissas Adotadas'!$E$27+'Cronograma de Implantação'!AK41*'Premissas Adotadas'!$E$28+'Cronograma de Implantação'!AK45*'Premissas Adotadas'!$E$29)</f>
        <v>0</v>
      </c>
    </row>
    <row r="62" spans="2:40" x14ac:dyDescent="0.2">
      <c r="B62" s="224" t="s">
        <v>174</v>
      </c>
      <c r="C62" s="225">
        <f t="shared" si="21"/>
        <v>-157363771.65036497</v>
      </c>
      <c r="D62" s="220"/>
      <c r="E62" s="226">
        <f t="shared" ref="E62:AM62" si="26">SUM(E63:E65)</f>
        <v>23713366.430346001</v>
      </c>
      <c r="F62" s="226">
        <f t="shared" si="26"/>
        <v>26638389.532278877</v>
      </c>
      <c r="G62" s="226">
        <f t="shared" si="26"/>
        <v>25531242.900679469</v>
      </c>
      <c r="H62" s="226">
        <f t="shared" si="26"/>
        <v>49770103.324588597</v>
      </c>
      <c r="I62" s="226">
        <f t="shared" si="26"/>
        <v>35704120.731086217</v>
      </c>
      <c r="J62" s="226">
        <f t="shared" si="26"/>
        <v>20988509.96489105</v>
      </c>
      <c r="K62" s="226">
        <f t="shared" si="26"/>
        <v>-15324197.956460575</v>
      </c>
      <c r="L62" s="226">
        <f t="shared" si="26"/>
        <v>-31640525.785470508</v>
      </c>
      <c r="M62" s="226">
        <f t="shared" si="26"/>
        <v>-34188652.149644479</v>
      </c>
      <c r="N62" s="226">
        <f t="shared" si="26"/>
        <v>-33933061.929373689</v>
      </c>
      <c r="O62" s="226">
        <f t="shared" si="26"/>
        <v>-32552677.967528388</v>
      </c>
      <c r="P62" s="226">
        <f t="shared" si="26"/>
        <v>-31172294.005683079</v>
      </c>
      <c r="Q62" s="226">
        <f t="shared" si="26"/>
        <v>-29791910.043837775</v>
      </c>
      <c r="R62" s="226">
        <f t="shared" si="26"/>
        <v>-28411526.081992466</v>
      </c>
      <c r="S62" s="226">
        <f t="shared" si="26"/>
        <v>-27031142.120147161</v>
      </c>
      <c r="T62" s="226">
        <f t="shared" si="26"/>
        <v>-23538743.633490119</v>
      </c>
      <c r="U62" s="226">
        <f t="shared" si="26"/>
        <v>-19776483.878765047</v>
      </c>
      <c r="V62" s="226">
        <f t="shared" si="26"/>
        <v>-16101689.671917301</v>
      </c>
      <c r="W62" s="226">
        <f t="shared" si="26"/>
        <v>-10068501.500756254</v>
      </c>
      <c r="X62" s="226">
        <f t="shared" si="26"/>
        <v>-5053304.0675937999</v>
      </c>
      <c r="Y62" s="226">
        <f t="shared" si="26"/>
        <v>-1124793.7415745277</v>
      </c>
      <c r="Z62" s="226">
        <f t="shared" si="26"/>
        <v>-1.4981827420401348E-9</v>
      </c>
      <c r="AA62" s="226">
        <f t="shared" si="26"/>
        <v>-1.4981827420401348E-9</v>
      </c>
      <c r="AB62" s="226">
        <f t="shared" si="26"/>
        <v>-1.4981827420401348E-9</v>
      </c>
      <c r="AC62" s="226">
        <f t="shared" si="26"/>
        <v>-1.4981827420401348E-9</v>
      </c>
      <c r="AD62" s="226">
        <f t="shared" si="26"/>
        <v>-1.4981827420401348E-9</v>
      </c>
      <c r="AE62" s="226">
        <f t="shared" si="26"/>
        <v>-1.4981827420401348E-9</v>
      </c>
      <c r="AF62" s="226">
        <f t="shared" si="26"/>
        <v>-1.4981827420401348E-9</v>
      </c>
      <c r="AG62" s="226">
        <f t="shared" si="26"/>
        <v>-1.4981827420401348E-9</v>
      </c>
      <c r="AH62" s="226">
        <f t="shared" si="26"/>
        <v>-1.4981827420401348E-9</v>
      </c>
      <c r="AI62" s="226">
        <f t="shared" si="26"/>
        <v>-1.4981827420401348E-9</v>
      </c>
      <c r="AJ62" s="226">
        <f t="shared" si="26"/>
        <v>-1.4981827420401348E-9</v>
      </c>
      <c r="AK62" s="226">
        <f t="shared" si="26"/>
        <v>-1.4981827420401348E-9</v>
      </c>
      <c r="AL62" s="226">
        <f t="shared" si="26"/>
        <v>-1.4981827420401348E-9</v>
      </c>
      <c r="AM62" s="226">
        <f t="shared" si="26"/>
        <v>-1.4981827420401348E-9</v>
      </c>
    </row>
    <row r="63" spans="2:40" x14ac:dyDescent="0.2">
      <c r="B63" s="144" t="s">
        <v>156</v>
      </c>
      <c r="C63" s="190">
        <f t="shared" si="21"/>
        <v>257428424.96364424</v>
      </c>
      <c r="D63" s="192"/>
      <c r="E63" s="146">
        <f>Financiamento!E20</f>
        <v>25344174.297740795</v>
      </c>
      <c r="F63" s="146">
        <f>Financiamento!F20</f>
        <v>30213317.381952018</v>
      </c>
      <c r="G63" s="146">
        <f>Financiamento!G20</f>
        <v>31107850.789702412</v>
      </c>
      <c r="H63" s="146">
        <f>Financiamento!H20</f>
        <v>61410258.400811814</v>
      </c>
      <c r="I63" s="146">
        <f>Financiamento!I20</f>
        <v>53145902.207217276</v>
      </c>
      <c r="J63" s="146">
        <f>Financiamento!J20</f>
        <v>43525407.528527141</v>
      </c>
      <c r="K63" s="146">
        <f>Financiamento!K20</f>
        <v>12681514.357692784</v>
      </c>
      <c r="L63" s="146">
        <f>Financiamento!L20</f>
        <v>0</v>
      </c>
      <c r="M63" s="146">
        <f>Financiamento!M20</f>
        <v>0</v>
      </c>
      <c r="N63" s="146">
        <f>Financiamento!N20</f>
        <v>0</v>
      </c>
      <c r="O63" s="146">
        <f>Financiamento!O20</f>
        <v>0</v>
      </c>
      <c r="P63" s="146">
        <f>Financiamento!P20</f>
        <v>0</v>
      </c>
      <c r="Q63" s="146">
        <f>Financiamento!Q20</f>
        <v>0</v>
      </c>
      <c r="R63" s="146">
        <f>Financiamento!R20</f>
        <v>0</v>
      </c>
      <c r="S63" s="146">
        <f>Financiamento!S20</f>
        <v>0</v>
      </c>
      <c r="T63" s="146">
        <f>Financiamento!T20</f>
        <v>0</v>
      </c>
      <c r="U63" s="146">
        <f>Financiamento!U20</f>
        <v>0</v>
      </c>
      <c r="V63" s="146">
        <f>Financiamento!V20</f>
        <v>0</v>
      </c>
      <c r="W63" s="146">
        <f>Financiamento!W20</f>
        <v>0</v>
      </c>
      <c r="X63" s="146">
        <f>Financiamento!X20</f>
        <v>0</v>
      </c>
      <c r="Y63" s="146">
        <f>Financiamento!Y20</f>
        <v>0</v>
      </c>
      <c r="Z63" s="146">
        <f>Financiamento!Z20</f>
        <v>0</v>
      </c>
      <c r="AA63" s="146">
        <f>Financiamento!AA20</f>
        <v>0</v>
      </c>
      <c r="AB63" s="146">
        <f>Financiamento!AB20</f>
        <v>0</v>
      </c>
      <c r="AC63" s="146">
        <f>Financiamento!AC20</f>
        <v>0</v>
      </c>
      <c r="AD63" s="146">
        <f>Financiamento!AD20</f>
        <v>0</v>
      </c>
      <c r="AE63" s="146">
        <f>Financiamento!AE20</f>
        <v>0</v>
      </c>
      <c r="AF63" s="146">
        <f>Financiamento!AF20</f>
        <v>0</v>
      </c>
      <c r="AG63" s="146">
        <f>Financiamento!AG20</f>
        <v>0</v>
      </c>
      <c r="AH63" s="146">
        <f>Financiamento!AH20</f>
        <v>0</v>
      </c>
      <c r="AI63" s="146">
        <f>Financiamento!AI20</f>
        <v>0</v>
      </c>
      <c r="AJ63" s="146">
        <f>Financiamento!AJ20</f>
        <v>0</v>
      </c>
      <c r="AK63" s="146">
        <f>Financiamento!AK20</f>
        <v>0</v>
      </c>
      <c r="AL63" s="146">
        <f>Financiamento!AL20</f>
        <v>0</v>
      </c>
      <c r="AM63" s="146">
        <f>Financiamento!AM20</f>
        <v>0</v>
      </c>
    </row>
    <row r="64" spans="2:40" x14ac:dyDescent="0.2">
      <c r="B64" s="144" t="s">
        <v>175</v>
      </c>
      <c r="C64" s="190">
        <f t="shared" si="21"/>
        <v>-157363771.65036497</v>
      </c>
      <c r="D64" s="192"/>
      <c r="E64" s="146">
        <f>Financiamento!E22</f>
        <v>-1630807.8673947928</v>
      </c>
      <c r="F64" s="146">
        <f>Financiamento!F22</f>
        <v>-3574927.8496731408</v>
      </c>
      <c r="G64" s="146">
        <f>Financiamento!G22</f>
        <v>-5576607.8890229426</v>
      </c>
      <c r="H64" s="146">
        <f>Financiamento!H22</f>
        <v>-9528140.5514114909</v>
      </c>
      <c r="I64" s="146">
        <f>Financiamento!I22</f>
        <v>-12811990.502823325</v>
      </c>
      <c r="J64" s="146">
        <f>Financiamento!J22</f>
        <v>-15314785.691186486</v>
      </c>
      <c r="K64" s="146">
        <f>Financiamento!K22</f>
        <v>-15666078.908302773</v>
      </c>
      <c r="L64" s="146">
        <f>Financiamento!L22</f>
        <v>-14872067.195685148</v>
      </c>
      <c r="M64" s="146">
        <f>Financiamento!M22</f>
        <v>-13793076.265815187</v>
      </c>
      <c r="N64" s="146">
        <f>Financiamento!N22</f>
        <v>-12480693.182403339</v>
      </c>
      <c r="O64" s="146">
        <f>Financiamento!O22</f>
        <v>-11100309.220558034</v>
      </c>
      <c r="P64" s="146">
        <f>Financiamento!P22</f>
        <v>-9719925.2587127276</v>
      </c>
      <c r="Q64" s="146">
        <f>Financiamento!Q22</f>
        <v>-8339541.2968674218</v>
      </c>
      <c r="R64" s="146">
        <f>Financiamento!R22</f>
        <v>-6959157.3350221151</v>
      </c>
      <c r="S64" s="146">
        <f>Financiamento!S22</f>
        <v>-5578773.3731768094</v>
      </c>
      <c r="T64" s="146">
        <f>Financiamento!T22</f>
        <v>-4198389.4113315018</v>
      </c>
      <c r="U64" s="146">
        <f>Financiamento!U22</f>
        <v>-2953906.1051024282</v>
      </c>
      <c r="V64" s="146">
        <f>Financiamento!V22</f>
        <v>-1871432.7973965497</v>
      </c>
      <c r="W64" s="146">
        <f>Financiamento!W22</f>
        <v>-955766.1596364883</v>
      </c>
      <c r="X64" s="146">
        <f>Financiamento!X22</f>
        <v>-369393.91040880582</v>
      </c>
      <c r="Y64" s="146">
        <f>Financiamento!Y22</f>
        <v>-68000.878433462378</v>
      </c>
      <c r="Z64" s="146">
        <f>Financiamento!Z22</f>
        <v>-1.4981827420401348E-9</v>
      </c>
      <c r="AA64" s="146">
        <f>Financiamento!AA22</f>
        <v>-1.4981827420401348E-9</v>
      </c>
      <c r="AB64" s="146">
        <f>Financiamento!AB22</f>
        <v>-1.4981827420401348E-9</v>
      </c>
      <c r="AC64" s="146">
        <f>Financiamento!AC22</f>
        <v>-1.4981827420401348E-9</v>
      </c>
      <c r="AD64" s="146">
        <f>Financiamento!AD22</f>
        <v>-1.4981827420401348E-9</v>
      </c>
      <c r="AE64" s="146">
        <f>Financiamento!AE22</f>
        <v>-1.4981827420401348E-9</v>
      </c>
      <c r="AF64" s="146">
        <f>Financiamento!AF22</f>
        <v>-1.4981827420401348E-9</v>
      </c>
      <c r="AG64" s="146">
        <f>Financiamento!AG22</f>
        <v>-1.4981827420401348E-9</v>
      </c>
      <c r="AH64" s="146">
        <f>Financiamento!AH22</f>
        <v>-1.4981827420401348E-9</v>
      </c>
      <c r="AI64" s="146">
        <f>Financiamento!AI22</f>
        <v>-1.4981827420401348E-9</v>
      </c>
      <c r="AJ64" s="146">
        <f>Financiamento!AJ22</f>
        <v>-1.4981827420401348E-9</v>
      </c>
      <c r="AK64" s="146">
        <f>Financiamento!AK22</f>
        <v>-1.4981827420401348E-9</v>
      </c>
      <c r="AL64" s="146">
        <f>Financiamento!AL22</f>
        <v>-1.4981827420401348E-9</v>
      </c>
      <c r="AM64" s="146">
        <f>Financiamento!AM22</f>
        <v>-1.4981827420401348E-9</v>
      </c>
    </row>
    <row r="65" spans="2:39" x14ac:dyDescent="0.2">
      <c r="B65" s="144" t="s">
        <v>95</v>
      </c>
      <c r="C65" s="190">
        <f t="shared" si="21"/>
        <v>-257428424.96364424</v>
      </c>
      <c r="D65" s="192"/>
      <c r="E65" s="146">
        <f>Financiamento!E23</f>
        <v>0</v>
      </c>
      <c r="F65" s="146">
        <f>Financiamento!F23</f>
        <v>0</v>
      </c>
      <c r="G65" s="146">
        <f>Financiamento!G23</f>
        <v>0</v>
      </c>
      <c r="H65" s="146">
        <f>Financiamento!H23</f>
        <v>-2112014.524811733</v>
      </c>
      <c r="I65" s="146">
        <f>Financiamento!I23</f>
        <v>-4629790.9733077344</v>
      </c>
      <c r="J65" s="146">
        <f>Financiamento!J23</f>
        <v>-7222111.872449602</v>
      </c>
      <c r="K65" s="146">
        <f>Financiamento!K23</f>
        <v>-12339633.405850586</v>
      </c>
      <c r="L65" s="146">
        <f>Financiamento!L23</f>
        <v>-16768458.58978536</v>
      </c>
      <c r="M65" s="146">
        <f>Financiamento!M23</f>
        <v>-20395575.883829288</v>
      </c>
      <c r="N65" s="146">
        <f>Financiamento!N23</f>
        <v>-21452368.746970352</v>
      </c>
      <c r="O65" s="146">
        <f>Financiamento!O23</f>
        <v>-21452368.746970352</v>
      </c>
      <c r="P65" s="146">
        <f>Financiamento!P23</f>
        <v>-21452368.746970352</v>
      </c>
      <c r="Q65" s="146">
        <f>Financiamento!Q23</f>
        <v>-21452368.746970352</v>
      </c>
      <c r="R65" s="146">
        <f>Financiamento!R23</f>
        <v>-21452368.746970352</v>
      </c>
      <c r="S65" s="146">
        <f>Financiamento!S23</f>
        <v>-21452368.746970352</v>
      </c>
      <c r="T65" s="146">
        <f>Financiamento!T23</f>
        <v>-19340354.222158618</v>
      </c>
      <c r="U65" s="146">
        <f>Financiamento!U23</f>
        <v>-16822577.773662619</v>
      </c>
      <c r="V65" s="146">
        <f>Financiamento!V23</f>
        <v>-14230256.874520751</v>
      </c>
      <c r="W65" s="146">
        <f>Financiamento!W23</f>
        <v>-9112735.3411197662</v>
      </c>
      <c r="X65" s="146">
        <f>Financiamento!X23</f>
        <v>-4683910.1571849938</v>
      </c>
      <c r="Y65" s="146">
        <f>Financiamento!Y23</f>
        <v>-1056792.8631410652</v>
      </c>
      <c r="Z65" s="146">
        <f>Financiamento!Z23</f>
        <v>0</v>
      </c>
      <c r="AA65" s="146">
        <f>Financiamento!AA23</f>
        <v>0</v>
      </c>
      <c r="AB65" s="146">
        <f>Financiamento!AB23</f>
        <v>0</v>
      </c>
      <c r="AC65" s="146">
        <f>Financiamento!AC23</f>
        <v>0</v>
      </c>
      <c r="AD65" s="146">
        <f>Financiamento!AD23</f>
        <v>0</v>
      </c>
      <c r="AE65" s="146">
        <f>Financiamento!AE23</f>
        <v>0</v>
      </c>
      <c r="AF65" s="146">
        <f>Financiamento!AF23</f>
        <v>0</v>
      </c>
      <c r="AG65" s="146">
        <f>Financiamento!AG23</f>
        <v>0</v>
      </c>
      <c r="AH65" s="146">
        <f>Financiamento!AH23</f>
        <v>0</v>
      </c>
      <c r="AI65" s="146">
        <f>Financiamento!AI23</f>
        <v>0</v>
      </c>
      <c r="AJ65" s="146">
        <f>Financiamento!AJ23</f>
        <v>0</v>
      </c>
      <c r="AK65" s="146">
        <f>Financiamento!AK23</f>
        <v>0</v>
      </c>
      <c r="AL65" s="146">
        <f>Financiamento!AL23</f>
        <v>0</v>
      </c>
      <c r="AM65" s="146">
        <f>Financiamento!AM23</f>
        <v>0</v>
      </c>
    </row>
    <row r="66" spans="2:39" x14ac:dyDescent="0.2">
      <c r="B66" s="224" t="s">
        <v>130</v>
      </c>
      <c r="C66" s="225">
        <f t="shared" si="21"/>
        <v>1511956304.9767647</v>
      </c>
      <c r="D66" s="220"/>
      <c r="E66" s="226">
        <f t="shared" ref="E66:AM66" si="27">E55+E59+E62</f>
        <v>-61192531.069792196</v>
      </c>
      <c r="F66" s="226">
        <f t="shared" si="27"/>
        <v>-57933605.484581724</v>
      </c>
      <c r="G66" s="226">
        <f t="shared" si="27"/>
        <v>-72109930.652819097</v>
      </c>
      <c r="H66" s="226">
        <f t="shared" si="27"/>
        <v>-164080484.50232154</v>
      </c>
      <c r="I66" s="226">
        <f t="shared" si="27"/>
        <v>-157093448.78449059</v>
      </c>
      <c r="J66" s="226">
        <f t="shared" si="27"/>
        <v>-124182522.06545618</v>
      </c>
      <c r="K66" s="226">
        <f t="shared" si="27"/>
        <v>-24278671.438602105</v>
      </c>
      <c r="L66" s="226">
        <f t="shared" si="27"/>
        <v>36653797.970401742</v>
      </c>
      <c r="M66" s="226">
        <f t="shared" si="27"/>
        <v>57635294.027271926</v>
      </c>
      <c r="N66" s="226">
        <f t="shared" si="27"/>
        <v>63772324.855392955</v>
      </c>
      <c r="O66" s="226">
        <f t="shared" si="27"/>
        <v>76206315.316484064</v>
      </c>
      <c r="P66" s="226">
        <f t="shared" si="27"/>
        <v>82457520.672820225</v>
      </c>
      <c r="Q66" s="226">
        <f t="shared" si="27"/>
        <v>83511785.895158157</v>
      </c>
      <c r="R66" s="226">
        <f t="shared" si="27"/>
        <v>84563638.474084288</v>
      </c>
      <c r="S66" s="226">
        <f t="shared" si="27"/>
        <v>85615491.053010404</v>
      </c>
      <c r="T66" s="226">
        <f t="shared" si="27"/>
        <v>88779358.156748265</v>
      </c>
      <c r="U66" s="226">
        <f t="shared" si="27"/>
        <v>84790533.142784297</v>
      </c>
      <c r="V66" s="226">
        <f t="shared" si="27"/>
        <v>57084602.295129851</v>
      </c>
      <c r="W66" s="226">
        <f t="shared" si="27"/>
        <v>56988528.952617027</v>
      </c>
      <c r="X66" s="226">
        <f t="shared" si="27"/>
        <v>57244954.095862746</v>
      </c>
      <c r="Y66" s="226">
        <f t="shared" si="27"/>
        <v>70251540.44900772</v>
      </c>
      <c r="Z66" s="226">
        <f t="shared" si="27"/>
        <v>71490106.408058137</v>
      </c>
      <c r="AA66" s="226">
        <f t="shared" si="27"/>
        <v>70776570.849945977</v>
      </c>
      <c r="AB66" s="226">
        <f t="shared" si="27"/>
        <v>91148079.142968044</v>
      </c>
      <c r="AC66" s="226">
        <f t="shared" si="27"/>
        <v>90683426.913645998</v>
      </c>
      <c r="AD66" s="226">
        <f t="shared" si="27"/>
        <v>91150168.834112138</v>
      </c>
      <c r="AE66" s="226">
        <f t="shared" si="27"/>
        <v>92254384.206989884</v>
      </c>
      <c r="AF66" s="226">
        <f t="shared" si="27"/>
        <v>84717954.633431017</v>
      </c>
      <c r="AG66" s="226">
        <f t="shared" si="27"/>
        <v>78781126.784040034</v>
      </c>
      <c r="AH66" s="226">
        <f t="shared" si="27"/>
        <v>77995029.469032109</v>
      </c>
      <c r="AI66" s="226">
        <f t="shared" si="27"/>
        <v>83575818.464021325</v>
      </c>
      <c r="AJ66" s="226">
        <f t="shared" si="27"/>
        <v>88674786.977952421</v>
      </c>
      <c r="AK66" s="226">
        <f t="shared" si="27"/>
        <v>88674786.977952421</v>
      </c>
      <c r="AL66" s="226">
        <f t="shared" si="27"/>
        <v>88674786.977952421</v>
      </c>
      <c r="AM66" s="226">
        <f t="shared" si="27"/>
        <v>88674786.977952421</v>
      </c>
    </row>
    <row r="67" spans="2:39" x14ac:dyDescent="0.2">
      <c r="B67" s="224" t="s">
        <v>201</v>
      </c>
      <c r="C67" s="225"/>
      <c r="D67" s="220"/>
      <c r="E67" s="226">
        <f>E66</f>
        <v>-61192531.069792196</v>
      </c>
      <c r="F67" s="226">
        <f>E67+F66</f>
        <v>-119126136.55437392</v>
      </c>
      <c r="G67" s="226">
        <f t="shared" ref="G67:AM67" si="28">F67+G66</f>
        <v>-191236067.20719302</v>
      </c>
      <c r="H67" s="226">
        <f t="shared" si="28"/>
        <v>-355316551.70951456</v>
      </c>
      <c r="I67" s="226">
        <f t="shared" si="28"/>
        <v>-512410000.49400514</v>
      </c>
      <c r="J67" s="226">
        <f t="shared" si="28"/>
        <v>-636592522.55946136</v>
      </c>
      <c r="K67" s="226">
        <f t="shared" si="28"/>
        <v>-660871193.99806345</v>
      </c>
      <c r="L67" s="226">
        <f t="shared" si="28"/>
        <v>-624217396.02766168</v>
      </c>
      <c r="M67" s="226">
        <f t="shared" si="28"/>
        <v>-566582102.00038981</v>
      </c>
      <c r="N67" s="226">
        <f t="shared" si="28"/>
        <v>-502809777.14499688</v>
      </c>
      <c r="O67" s="226">
        <f t="shared" si="28"/>
        <v>-426603461.82851279</v>
      </c>
      <c r="P67" s="226">
        <f t="shared" si="28"/>
        <v>-344145941.15569258</v>
      </c>
      <c r="Q67" s="226">
        <f t="shared" si="28"/>
        <v>-260634155.26053441</v>
      </c>
      <c r="R67" s="226">
        <f t="shared" si="28"/>
        <v>-176070516.78645012</v>
      </c>
      <c r="S67" s="226">
        <f t="shared" si="28"/>
        <v>-90455025.733439714</v>
      </c>
      <c r="T67" s="226">
        <f t="shared" si="28"/>
        <v>-1675667.5766914487</v>
      </c>
      <c r="U67" s="226">
        <f t="shared" si="28"/>
        <v>83114865.566092849</v>
      </c>
      <c r="V67" s="226">
        <f t="shared" si="28"/>
        <v>140199467.86122268</v>
      </c>
      <c r="W67" s="226">
        <f t="shared" si="28"/>
        <v>197187996.8138397</v>
      </c>
      <c r="X67" s="226">
        <f t="shared" si="28"/>
        <v>254432950.90970245</v>
      </c>
      <c r="Y67" s="226">
        <f t="shared" si="28"/>
        <v>324684491.35871017</v>
      </c>
      <c r="Z67" s="226">
        <f t="shared" si="28"/>
        <v>396174597.76676834</v>
      </c>
      <c r="AA67" s="226">
        <f t="shared" si="28"/>
        <v>466951168.6167143</v>
      </c>
      <c r="AB67" s="226">
        <f t="shared" si="28"/>
        <v>558099247.7596823</v>
      </c>
      <c r="AC67" s="226">
        <f t="shared" si="28"/>
        <v>648782674.67332828</v>
      </c>
      <c r="AD67" s="226">
        <f t="shared" si="28"/>
        <v>739932843.50744045</v>
      </c>
      <c r="AE67" s="226">
        <f t="shared" si="28"/>
        <v>832187227.71443033</v>
      </c>
      <c r="AF67" s="226">
        <f t="shared" si="28"/>
        <v>916905182.34786129</v>
      </c>
      <c r="AG67" s="226">
        <f t="shared" si="28"/>
        <v>995686309.13190126</v>
      </c>
      <c r="AH67" s="226">
        <f t="shared" si="28"/>
        <v>1073681338.6009333</v>
      </c>
      <c r="AI67" s="226">
        <f t="shared" si="28"/>
        <v>1157257157.0649548</v>
      </c>
      <c r="AJ67" s="226">
        <f t="shared" si="28"/>
        <v>1245931944.0429072</v>
      </c>
      <c r="AK67" s="226">
        <f t="shared" si="28"/>
        <v>1334606731.0208597</v>
      </c>
      <c r="AL67" s="226">
        <f t="shared" si="28"/>
        <v>1423281517.9988122</v>
      </c>
      <c r="AM67" s="226">
        <f t="shared" si="28"/>
        <v>1511956304.9767647</v>
      </c>
    </row>
    <row r="68" spans="2:39" x14ac:dyDescent="0.2">
      <c r="E68" s="143">
        <f>IF(E67&lt;0,D68+1,D68)</f>
        <v>1</v>
      </c>
      <c r="F68" s="143">
        <f t="shared" ref="F68:AM68" si="29">IF(F67&lt;0,E68+1,E68)</f>
        <v>2</v>
      </c>
      <c r="G68" s="143">
        <f t="shared" si="29"/>
        <v>3</v>
      </c>
      <c r="H68" s="143">
        <f t="shared" si="29"/>
        <v>4</v>
      </c>
      <c r="I68" s="143">
        <f t="shared" si="29"/>
        <v>5</v>
      </c>
      <c r="J68" s="143">
        <f t="shared" si="29"/>
        <v>6</v>
      </c>
      <c r="K68" s="143">
        <f t="shared" si="29"/>
        <v>7</v>
      </c>
      <c r="L68" s="143">
        <f t="shared" si="29"/>
        <v>8</v>
      </c>
      <c r="M68" s="143">
        <f t="shared" si="29"/>
        <v>9</v>
      </c>
      <c r="N68" s="143">
        <f t="shared" si="29"/>
        <v>10</v>
      </c>
      <c r="O68" s="143">
        <f t="shared" si="29"/>
        <v>11</v>
      </c>
      <c r="P68" s="143">
        <f t="shared" si="29"/>
        <v>12</v>
      </c>
      <c r="Q68" s="143">
        <f t="shared" si="29"/>
        <v>13</v>
      </c>
      <c r="R68" s="143">
        <f t="shared" si="29"/>
        <v>14</v>
      </c>
      <c r="S68" s="143">
        <f t="shared" si="29"/>
        <v>15</v>
      </c>
      <c r="T68" s="143">
        <f t="shared" si="29"/>
        <v>16</v>
      </c>
      <c r="U68" s="143">
        <f t="shared" si="29"/>
        <v>16</v>
      </c>
      <c r="V68" s="143">
        <f t="shared" si="29"/>
        <v>16</v>
      </c>
      <c r="W68" s="143">
        <f t="shared" si="29"/>
        <v>16</v>
      </c>
      <c r="X68" s="143">
        <f t="shared" si="29"/>
        <v>16</v>
      </c>
      <c r="Y68" s="143">
        <f t="shared" si="29"/>
        <v>16</v>
      </c>
      <c r="Z68" s="143">
        <f t="shared" si="29"/>
        <v>16</v>
      </c>
      <c r="AA68" s="143">
        <f t="shared" si="29"/>
        <v>16</v>
      </c>
      <c r="AB68" s="143">
        <f t="shared" si="29"/>
        <v>16</v>
      </c>
      <c r="AC68" s="143">
        <f t="shared" si="29"/>
        <v>16</v>
      </c>
      <c r="AD68" s="143">
        <f t="shared" si="29"/>
        <v>16</v>
      </c>
      <c r="AE68" s="143">
        <f t="shared" si="29"/>
        <v>16</v>
      </c>
      <c r="AF68" s="143">
        <f t="shared" si="29"/>
        <v>16</v>
      </c>
      <c r="AG68" s="143">
        <f t="shared" si="29"/>
        <v>16</v>
      </c>
      <c r="AH68" s="143">
        <f t="shared" si="29"/>
        <v>16</v>
      </c>
      <c r="AI68" s="143">
        <f t="shared" si="29"/>
        <v>16</v>
      </c>
      <c r="AJ68" s="143">
        <f t="shared" si="29"/>
        <v>16</v>
      </c>
      <c r="AK68" s="143">
        <f t="shared" si="29"/>
        <v>16</v>
      </c>
      <c r="AL68" s="143">
        <f t="shared" si="29"/>
        <v>16</v>
      </c>
      <c r="AM68" s="143">
        <f t="shared" si="29"/>
        <v>16</v>
      </c>
    </row>
    <row r="69" spans="2:39" x14ac:dyDescent="0.2">
      <c r="B69" s="159" t="s">
        <v>194</v>
      </c>
      <c r="C69" s="160">
        <f>'Premissas Adotadas'!K27</f>
        <v>9.5004890394347008E-2</v>
      </c>
      <c r="E69" s="147"/>
      <c r="F69" s="147"/>
      <c r="G69" s="147"/>
      <c r="H69" s="147"/>
      <c r="I69" s="147"/>
      <c r="J69" s="147"/>
      <c r="K69" s="147"/>
      <c r="L69" s="147"/>
      <c r="M69" s="147"/>
      <c r="N69" s="147"/>
      <c r="O69" s="147"/>
      <c r="P69" s="147"/>
      <c r="Q69" s="147"/>
      <c r="R69" s="147"/>
      <c r="S69" s="147"/>
      <c r="T69" s="147"/>
      <c r="U69" s="147"/>
      <c r="V69" s="147"/>
      <c r="W69" s="147"/>
      <c r="X69" s="147"/>
      <c r="Y69" s="147"/>
      <c r="Z69" s="147"/>
      <c r="AA69" s="147"/>
      <c r="AB69" s="147"/>
      <c r="AC69" s="147"/>
      <c r="AD69" s="147"/>
      <c r="AE69" s="147"/>
      <c r="AF69" s="147"/>
      <c r="AG69" s="147"/>
      <c r="AH69" s="147"/>
      <c r="AI69" s="147"/>
      <c r="AJ69" s="147"/>
      <c r="AK69" s="147"/>
      <c r="AL69" s="147"/>
      <c r="AM69" s="147"/>
    </row>
    <row r="70" spans="2:39" ht="13.5" thickBot="1" x14ac:dyDescent="0.25">
      <c r="E70" s="146"/>
      <c r="G70" s="147"/>
      <c r="H70" s="147"/>
      <c r="I70" s="147"/>
      <c r="J70" s="147"/>
      <c r="K70" s="147"/>
      <c r="L70" s="147"/>
      <c r="M70" s="147"/>
      <c r="N70" s="147"/>
      <c r="O70" s="147"/>
      <c r="P70" s="147"/>
      <c r="Q70" s="147"/>
      <c r="R70" s="147"/>
      <c r="S70" s="147"/>
      <c r="T70" s="147"/>
      <c r="U70" s="147"/>
      <c r="V70" s="147"/>
      <c r="W70" s="147"/>
      <c r="X70" s="147"/>
      <c r="Y70" s="147"/>
      <c r="Z70" s="147"/>
      <c r="AA70" s="147"/>
      <c r="AB70" s="147"/>
      <c r="AC70" s="147"/>
      <c r="AD70" s="147"/>
      <c r="AE70" s="147"/>
      <c r="AF70" s="147"/>
      <c r="AG70" s="147"/>
      <c r="AH70" s="147"/>
      <c r="AI70" s="147"/>
      <c r="AJ70" s="147"/>
      <c r="AK70" s="147"/>
      <c r="AL70" s="147"/>
      <c r="AM70" s="147"/>
    </row>
    <row r="71" spans="2:39" x14ac:dyDescent="0.2">
      <c r="B71" s="175" t="s">
        <v>132</v>
      </c>
      <c r="C71" s="176">
        <f>E66+NPV(C69,F66:AM66)</f>
        <v>-95909478.381226361</v>
      </c>
      <c r="E71" s="146"/>
      <c r="F71" s="146"/>
      <c r="G71" s="146"/>
      <c r="J71" s="147"/>
      <c r="K71" s="147"/>
      <c r="L71" s="147"/>
      <c r="M71" s="147"/>
      <c r="N71" s="147"/>
      <c r="O71" s="147"/>
      <c r="P71" s="147"/>
      <c r="Q71" s="147"/>
      <c r="R71" s="147"/>
      <c r="S71" s="147"/>
      <c r="T71" s="147"/>
      <c r="U71" s="147"/>
      <c r="V71" s="147"/>
      <c r="W71" s="147"/>
      <c r="X71" s="147"/>
      <c r="Y71" s="147"/>
      <c r="Z71" s="147"/>
      <c r="AA71" s="147"/>
      <c r="AB71" s="147"/>
      <c r="AC71" s="147"/>
      <c r="AD71" s="147"/>
      <c r="AE71" s="147"/>
      <c r="AF71" s="147"/>
      <c r="AG71" s="147"/>
      <c r="AH71" s="147"/>
      <c r="AI71" s="147"/>
      <c r="AJ71" s="147"/>
      <c r="AK71" s="147"/>
      <c r="AL71" s="147"/>
      <c r="AM71" s="147"/>
    </row>
    <row r="72" spans="2:39" x14ac:dyDescent="0.2">
      <c r="B72" s="177" t="s">
        <v>133</v>
      </c>
      <c r="C72" s="178">
        <f>(AM66/C69)/(1+C69)^35</f>
        <v>38948625.436341509</v>
      </c>
      <c r="E72" s="146"/>
      <c r="F72" s="146"/>
      <c r="G72" s="146"/>
      <c r="J72" s="147"/>
      <c r="K72" s="147"/>
      <c r="L72" s="147"/>
      <c r="M72" s="147"/>
      <c r="N72" s="147"/>
      <c r="O72" s="147"/>
      <c r="P72" s="147"/>
      <c r="Q72" s="147"/>
      <c r="R72" s="147"/>
      <c r="S72" s="147"/>
      <c r="T72" s="147"/>
      <c r="U72" s="147"/>
      <c r="V72" s="147"/>
      <c r="W72" s="147"/>
      <c r="X72" s="147"/>
      <c r="Y72" s="147"/>
      <c r="Z72" s="147"/>
      <c r="AA72" s="147"/>
      <c r="AB72" s="147"/>
      <c r="AC72" s="147"/>
      <c r="AD72" s="147"/>
      <c r="AE72" s="147"/>
      <c r="AF72" s="147"/>
      <c r="AG72" s="147"/>
      <c r="AH72" s="147"/>
      <c r="AI72" s="147"/>
      <c r="AJ72" s="147"/>
      <c r="AK72" s="147"/>
      <c r="AL72" s="147"/>
      <c r="AM72" s="147"/>
    </row>
    <row r="73" spans="2:39" ht="13.5" thickBot="1" x14ac:dyDescent="0.25">
      <c r="B73" s="179" t="s">
        <v>134</v>
      </c>
      <c r="C73" s="180">
        <f>C71+C72</f>
        <v>-56960852.944884852</v>
      </c>
      <c r="E73" s="146"/>
      <c r="F73" s="146"/>
      <c r="G73" s="146"/>
      <c r="J73" s="147"/>
      <c r="K73" s="147"/>
      <c r="L73" s="147"/>
      <c r="M73" s="147"/>
      <c r="N73" s="147"/>
      <c r="O73" s="147"/>
      <c r="P73" s="147"/>
      <c r="Q73" s="147"/>
      <c r="R73" s="147"/>
      <c r="S73" s="147"/>
      <c r="T73" s="147"/>
      <c r="U73" s="147"/>
      <c r="V73" s="147"/>
      <c r="W73" s="147"/>
      <c r="X73" s="147"/>
      <c r="Y73" s="147"/>
      <c r="Z73" s="147"/>
      <c r="AA73" s="147"/>
      <c r="AB73" s="147"/>
      <c r="AC73" s="147"/>
      <c r="AD73" s="147"/>
      <c r="AE73" s="147"/>
      <c r="AF73" s="147"/>
      <c r="AG73" s="147"/>
      <c r="AH73" s="147"/>
      <c r="AI73" s="147"/>
      <c r="AJ73" s="147"/>
      <c r="AK73" s="147"/>
      <c r="AL73" s="147"/>
      <c r="AM73" s="147"/>
    </row>
    <row r="74" spans="2:39" ht="13.5" thickBot="1" x14ac:dyDescent="0.25">
      <c r="E74" s="146"/>
      <c r="F74" s="146"/>
      <c r="G74" s="146"/>
      <c r="H74" s="147"/>
      <c r="I74" s="147"/>
      <c r="J74" s="147"/>
      <c r="K74" s="147"/>
      <c r="L74" s="147"/>
      <c r="M74" s="147"/>
      <c r="N74" s="147"/>
      <c r="O74" s="147"/>
      <c r="P74" s="147"/>
      <c r="Q74" s="147"/>
      <c r="R74" s="147"/>
      <c r="S74" s="147"/>
      <c r="T74" s="147"/>
      <c r="U74" s="147"/>
      <c r="V74" s="147"/>
      <c r="W74" s="147"/>
      <c r="X74" s="147"/>
      <c r="Y74" s="147"/>
      <c r="Z74" s="147"/>
      <c r="AA74" s="147"/>
      <c r="AB74" s="147"/>
      <c r="AC74" s="147"/>
      <c r="AD74" s="147"/>
      <c r="AE74" s="147"/>
      <c r="AF74" s="147"/>
      <c r="AG74" s="147"/>
      <c r="AH74" s="147"/>
      <c r="AI74" s="147"/>
      <c r="AJ74" s="147"/>
      <c r="AK74" s="147"/>
      <c r="AL74" s="147"/>
      <c r="AM74" s="147"/>
    </row>
    <row r="75" spans="2:39" ht="13.5" thickBot="1" x14ac:dyDescent="0.25">
      <c r="B75" s="204" t="s">
        <v>76</v>
      </c>
      <c r="C75" s="232">
        <f>IRR(E119:AN119)</f>
        <v>8.6224084594922701E-2</v>
      </c>
      <c r="E75" s="146"/>
      <c r="F75" s="146"/>
      <c r="G75" s="146"/>
      <c r="H75" s="147"/>
      <c r="I75" s="147"/>
      <c r="J75" s="147"/>
      <c r="K75" s="147"/>
      <c r="L75" s="147"/>
      <c r="M75" s="147"/>
      <c r="N75" s="147"/>
      <c r="O75" s="147"/>
      <c r="P75" s="147"/>
      <c r="Q75" s="147"/>
      <c r="R75" s="147"/>
      <c r="S75" s="147"/>
      <c r="T75" s="147"/>
      <c r="U75" s="147"/>
      <c r="V75" s="147"/>
      <c r="W75" s="147"/>
      <c r="X75" s="147"/>
      <c r="Y75" s="147"/>
      <c r="Z75" s="147"/>
      <c r="AA75" s="147"/>
      <c r="AB75" s="147"/>
      <c r="AC75" s="147"/>
      <c r="AD75" s="147"/>
      <c r="AE75" s="147"/>
      <c r="AF75" s="147"/>
      <c r="AG75" s="147"/>
      <c r="AH75" s="147"/>
      <c r="AI75" s="147"/>
      <c r="AJ75" s="147"/>
      <c r="AK75" s="147"/>
      <c r="AL75" s="147"/>
      <c r="AM75" s="147"/>
    </row>
    <row r="76" spans="2:39" x14ac:dyDescent="0.2">
      <c r="E76" s="146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147"/>
      <c r="R76" s="147"/>
      <c r="S76" s="147"/>
      <c r="T76" s="147"/>
      <c r="U76" s="147"/>
      <c r="V76" s="147"/>
      <c r="W76" s="147"/>
      <c r="X76" s="147"/>
      <c r="Y76" s="147"/>
      <c r="Z76" s="147"/>
      <c r="AA76" s="147"/>
      <c r="AB76" s="147"/>
      <c r="AC76" s="147"/>
      <c r="AD76" s="147"/>
      <c r="AE76" s="147"/>
      <c r="AF76" s="147"/>
      <c r="AG76" s="147"/>
      <c r="AH76" s="147"/>
      <c r="AI76" s="147"/>
      <c r="AJ76" s="147"/>
      <c r="AK76" s="147"/>
      <c r="AL76" s="147"/>
      <c r="AM76" s="147"/>
    </row>
    <row r="77" spans="2:39" x14ac:dyDescent="0.2">
      <c r="B77" s="161" t="s">
        <v>113</v>
      </c>
      <c r="C77" s="161"/>
      <c r="D77" s="191"/>
      <c r="E77" s="162">
        <f>E78+E79</f>
        <v>0</v>
      </c>
      <c r="F77" s="162">
        <f t="shared" ref="F77:AM77" si="30">F78+F79</f>
        <v>0</v>
      </c>
      <c r="G77" s="162">
        <f t="shared" si="30"/>
        <v>-561157.47763317509</v>
      </c>
      <c r="H77" s="162">
        <f t="shared" si="30"/>
        <v>-2467499.3653872702</v>
      </c>
      <c r="I77" s="162">
        <f t="shared" si="30"/>
        <v>-1778321.376206072</v>
      </c>
      <c r="J77" s="162">
        <f t="shared" si="30"/>
        <v>2938736.7479512431</v>
      </c>
      <c r="K77" s="162">
        <f t="shared" si="30"/>
        <v>7577511.3917880878</v>
      </c>
      <c r="L77" s="162">
        <f t="shared" si="30"/>
        <v>12430395.559168532</v>
      </c>
      <c r="M77" s="162">
        <f t="shared" si="30"/>
        <v>14472505.788185216</v>
      </c>
      <c r="N77" s="162">
        <f t="shared" si="30"/>
        <v>14472505.788185216</v>
      </c>
      <c r="O77" s="162">
        <f t="shared" si="30"/>
        <v>16310613.184461225</v>
      </c>
      <c r="P77" s="162">
        <f t="shared" si="30"/>
        <v>16310613.184461225</v>
      </c>
      <c r="Q77" s="162">
        <f t="shared" si="30"/>
        <v>16310613.184461225</v>
      </c>
      <c r="R77" s="162">
        <f t="shared" si="30"/>
        <v>16310613.184461225</v>
      </c>
      <c r="S77" s="162">
        <f t="shared" si="30"/>
        <v>16310613.184461225</v>
      </c>
      <c r="T77" s="162">
        <f t="shared" si="30"/>
        <v>16310613.184461225</v>
      </c>
      <c r="U77" s="162">
        <f t="shared" si="30"/>
        <v>16310613.184461225</v>
      </c>
      <c r="V77" s="162">
        <f t="shared" si="30"/>
        <v>7764569.0502525494</v>
      </c>
      <c r="W77" s="162">
        <f t="shared" si="30"/>
        <v>13754717.904002246</v>
      </c>
      <c r="X77" s="162">
        <f t="shared" si="30"/>
        <v>7764569.0502525494</v>
      </c>
      <c r="Y77" s="162">
        <f t="shared" si="30"/>
        <v>16310613.184461225</v>
      </c>
      <c r="Z77" s="162">
        <f t="shared" si="30"/>
        <v>9602676.4465285577</v>
      </c>
      <c r="AA77" s="162">
        <f t="shared" si="30"/>
        <v>15592825.300278258</v>
      </c>
      <c r="AB77" s="162">
        <f t="shared" si="30"/>
        <v>16310613.184461225</v>
      </c>
      <c r="AC77" s="162">
        <f t="shared" si="30"/>
        <v>15592825.300278258</v>
      </c>
      <c r="AD77" s="162">
        <f t="shared" si="30"/>
        <v>16310613.184461225</v>
      </c>
      <c r="AE77" s="162">
        <f t="shared" si="30"/>
        <v>16310613.184461225</v>
      </c>
      <c r="AF77" s="162">
        <f t="shared" si="30"/>
        <v>14472505.788185216</v>
      </c>
      <c r="AG77" s="162">
        <f t="shared" si="30"/>
        <v>14472505.788185216</v>
      </c>
      <c r="AH77" s="162">
        <f t="shared" si="30"/>
        <v>14472505.788185216</v>
      </c>
      <c r="AI77" s="162">
        <f t="shared" si="30"/>
        <v>16310613.184461225</v>
      </c>
      <c r="AJ77" s="162">
        <f t="shared" si="30"/>
        <v>16310613.184461225</v>
      </c>
      <c r="AK77" s="162">
        <f t="shared" si="30"/>
        <v>16310613.184461225</v>
      </c>
      <c r="AL77" s="162">
        <f t="shared" si="30"/>
        <v>16310613.184461225</v>
      </c>
      <c r="AM77" s="162">
        <f t="shared" si="30"/>
        <v>16310613.184461225</v>
      </c>
    </row>
    <row r="78" spans="2:39" x14ac:dyDescent="0.2">
      <c r="B78" s="144" t="s">
        <v>114</v>
      </c>
      <c r="C78" s="144"/>
      <c r="D78" s="192"/>
      <c r="E78" s="145">
        <f>E10*'Premissas Adotadas'!$K$23</f>
        <v>0</v>
      </c>
      <c r="F78" s="145">
        <f>F10*'Premissas Adotadas'!$K$23</f>
        <v>0</v>
      </c>
      <c r="G78" s="145">
        <f>G10*'Premissas Adotadas'!$K$23</f>
        <v>1027820.5098781633</v>
      </c>
      <c r="H78" s="145">
        <f>H10*'Premissas Adotadas'!$K$23</f>
        <v>4847525.42396673</v>
      </c>
      <c r="I78" s="145">
        <f>I10*'Premissas Adotadas'!$K$23</f>
        <v>9841259.0964331459</v>
      </c>
      <c r="J78" s="145">
        <f>J10*'Premissas Adotadas'!$K$23</f>
        <v>20374549.259562146</v>
      </c>
      <c r="K78" s="145">
        <f>K10*'Premissas Adotadas'!$K$23</f>
        <v>26824186.204481732</v>
      </c>
      <c r="L78" s="145">
        <f>L10*'Premissas Adotadas'!$K$23</f>
        <v>31800140.258104846</v>
      </c>
      <c r="M78" s="145">
        <f>M10*'Premissas Adotadas'!$K$23</f>
        <v>33842250.48712153</v>
      </c>
      <c r="N78" s="145">
        <f>N10*'Premissas Adotadas'!$K$23</f>
        <v>33842250.48712153</v>
      </c>
      <c r="O78" s="145">
        <f>O10*'Premissas Adotadas'!$K$23</f>
        <v>35557287.997154869</v>
      </c>
      <c r="P78" s="145">
        <f>P10*'Premissas Adotadas'!$K$23</f>
        <v>35557287.997154869</v>
      </c>
      <c r="Q78" s="145">
        <f>Q10*'Premissas Adotadas'!$K$23</f>
        <v>35557287.997154869</v>
      </c>
      <c r="R78" s="145">
        <f>R10*'Premissas Adotadas'!$K$23</f>
        <v>35557287.997154869</v>
      </c>
      <c r="S78" s="145">
        <f>S10*'Premissas Adotadas'!$K$23</f>
        <v>35557287.997154869</v>
      </c>
      <c r="T78" s="145">
        <f>T10*'Premissas Adotadas'!$K$23</f>
        <v>35557287.997154869</v>
      </c>
      <c r="U78" s="145">
        <f>U10*'Premissas Adotadas'!$K$23</f>
        <v>35557287.997154869</v>
      </c>
      <c r="V78" s="145">
        <f>V10*'Premissas Adotadas'!$K$23</f>
        <v>27278900.913644198</v>
      </c>
      <c r="W78" s="145">
        <f>W10*'Premissas Adotadas'!$K$23</f>
        <v>33170772.121434331</v>
      </c>
      <c r="X78" s="145">
        <f>X10*'Premissas Adotadas'!$K$23</f>
        <v>27278900.913644198</v>
      </c>
      <c r="Y78" s="145">
        <f>Y10*'Premissas Adotadas'!$K$23</f>
        <v>35557287.997154869</v>
      </c>
      <c r="Z78" s="145">
        <f>Z10*'Premissas Adotadas'!$K$23</f>
        <v>28993938.423677538</v>
      </c>
      <c r="AA78" s="145">
        <f>AA10*'Premissas Adotadas'!$K$23</f>
        <v>34885809.631467678</v>
      </c>
      <c r="AB78" s="145">
        <f>AB10*'Premissas Adotadas'!$K$23</f>
        <v>35557287.997154869</v>
      </c>
      <c r="AC78" s="145">
        <f>AC10*'Premissas Adotadas'!$K$23</f>
        <v>34885809.631467678</v>
      </c>
      <c r="AD78" s="145">
        <f>AD10*'Premissas Adotadas'!$K$23</f>
        <v>35557287.997154869</v>
      </c>
      <c r="AE78" s="145">
        <f>AE10*'Premissas Adotadas'!$K$23</f>
        <v>35557287.997154869</v>
      </c>
      <c r="AF78" s="145">
        <f>AF10*'Premissas Adotadas'!$K$23</f>
        <v>33842250.48712153</v>
      </c>
      <c r="AG78" s="145">
        <f>AG10*'Premissas Adotadas'!$K$23</f>
        <v>33842250.48712153</v>
      </c>
      <c r="AH78" s="145">
        <f>AH10*'Premissas Adotadas'!$K$23</f>
        <v>33842250.48712153</v>
      </c>
      <c r="AI78" s="145">
        <f>AI10*'Premissas Adotadas'!$K$23</f>
        <v>35557287.997154869</v>
      </c>
      <c r="AJ78" s="145">
        <f>AJ10*'Premissas Adotadas'!$K$23</f>
        <v>35557287.997154869</v>
      </c>
      <c r="AK78" s="145">
        <f>AK10*'Premissas Adotadas'!$K$23</f>
        <v>35557287.997154869</v>
      </c>
      <c r="AL78" s="145">
        <f>AL10*'Premissas Adotadas'!$K$23</f>
        <v>35557287.997154869</v>
      </c>
      <c r="AM78" s="145">
        <f>AM10*'Premissas Adotadas'!$K$23</f>
        <v>35557287.997154869</v>
      </c>
    </row>
    <row r="79" spans="2:39" x14ac:dyDescent="0.2">
      <c r="B79" s="163" t="s">
        <v>115</v>
      </c>
      <c r="C79" s="163"/>
      <c r="D79" s="192"/>
      <c r="E79" s="164">
        <f>SUM(E23:E28)*'Premissas Adotadas'!$K$23</f>
        <v>0</v>
      </c>
      <c r="F79" s="164">
        <f>SUM(F23:F28)*'Premissas Adotadas'!$K$23</f>
        <v>0</v>
      </c>
      <c r="G79" s="164">
        <f>SUM(G23:G28)*'Premissas Adotadas'!$K$23</f>
        <v>-1588977.9875113384</v>
      </c>
      <c r="H79" s="164">
        <f>SUM(H23:H28)*'Premissas Adotadas'!$K$23</f>
        <v>-7315024.7893540002</v>
      </c>
      <c r="I79" s="164">
        <f>SUM(I23:I28)*'Premissas Adotadas'!$K$23</f>
        <v>-11619580.472639218</v>
      </c>
      <c r="J79" s="164">
        <f>SUM(J23:J28)*'Premissas Adotadas'!$K$23</f>
        <v>-17435812.511610903</v>
      </c>
      <c r="K79" s="164">
        <f>SUM(K23:K28)*'Premissas Adotadas'!$K$23</f>
        <v>-19246674.812693644</v>
      </c>
      <c r="L79" s="164">
        <f>SUM(L23:L28)*'Premissas Adotadas'!$K$23</f>
        <v>-19369744.698936313</v>
      </c>
      <c r="M79" s="164">
        <f>SUM(M23:M28)*'Premissas Adotadas'!$K$23</f>
        <v>-19369744.698936313</v>
      </c>
      <c r="N79" s="164">
        <f>SUM(N23:N28)*'Premissas Adotadas'!$K$23</f>
        <v>-19369744.698936313</v>
      </c>
      <c r="O79" s="164">
        <f>SUM(O23:O28)*'Premissas Adotadas'!$K$23</f>
        <v>-19246674.812693644</v>
      </c>
      <c r="P79" s="164">
        <f>SUM(P23:P28)*'Premissas Adotadas'!$K$23</f>
        <v>-19246674.812693644</v>
      </c>
      <c r="Q79" s="164">
        <f>SUM(Q23:Q28)*'Premissas Adotadas'!$K$23</f>
        <v>-19246674.812693644</v>
      </c>
      <c r="R79" s="164">
        <f>SUM(R23:R28)*'Premissas Adotadas'!$K$23</f>
        <v>-19246674.812693644</v>
      </c>
      <c r="S79" s="164">
        <f>SUM(S23:S28)*'Premissas Adotadas'!$K$23</f>
        <v>-19246674.812693644</v>
      </c>
      <c r="T79" s="164">
        <f>SUM(T23:T28)*'Premissas Adotadas'!$K$23</f>
        <v>-19246674.812693644</v>
      </c>
      <c r="U79" s="164">
        <f>SUM(U23:U28)*'Premissas Adotadas'!$K$23</f>
        <v>-19246674.812693644</v>
      </c>
      <c r="V79" s="164">
        <f>SUM(V23:V28)*'Premissas Adotadas'!$K$23</f>
        <v>-19514331.863391649</v>
      </c>
      <c r="W79" s="164">
        <f>SUM(W23:W28)*'Premissas Adotadas'!$K$23</f>
        <v>-19416054.217432085</v>
      </c>
      <c r="X79" s="164">
        <f>SUM(X23:X28)*'Premissas Adotadas'!$K$23</f>
        <v>-19514331.863391649</v>
      </c>
      <c r="Y79" s="164">
        <f>SUM(Y23:Y28)*'Premissas Adotadas'!$K$23</f>
        <v>-19246674.812693644</v>
      </c>
      <c r="Z79" s="164">
        <f>SUM(Z23:Z28)*'Premissas Adotadas'!$K$23</f>
        <v>-19391261.97714898</v>
      </c>
      <c r="AA79" s="164">
        <f>SUM(AA23:AA28)*'Premissas Adotadas'!$K$23</f>
        <v>-19292984.33118942</v>
      </c>
      <c r="AB79" s="164">
        <f>SUM(AB23:AB28)*'Premissas Adotadas'!$K$23</f>
        <v>-19246674.812693644</v>
      </c>
      <c r="AC79" s="164">
        <f>SUM(AC23:AC28)*'Premissas Adotadas'!$K$23</f>
        <v>-19292984.33118942</v>
      </c>
      <c r="AD79" s="164">
        <f>SUM(AD23:AD28)*'Premissas Adotadas'!$K$23</f>
        <v>-19246674.812693644</v>
      </c>
      <c r="AE79" s="164">
        <f>SUM(AE23:AE28)*'Premissas Adotadas'!$K$23</f>
        <v>-19246674.812693644</v>
      </c>
      <c r="AF79" s="164">
        <f>SUM(AF23:AF28)*'Premissas Adotadas'!$K$23</f>
        <v>-19369744.698936313</v>
      </c>
      <c r="AG79" s="164">
        <f>SUM(AG23:AG28)*'Premissas Adotadas'!$K$23</f>
        <v>-19369744.698936313</v>
      </c>
      <c r="AH79" s="164">
        <f>SUM(AH23:AH28)*'Premissas Adotadas'!$K$23</f>
        <v>-19369744.698936313</v>
      </c>
      <c r="AI79" s="164">
        <f>SUM(AI23:AI28)*'Premissas Adotadas'!$K$23</f>
        <v>-19246674.812693644</v>
      </c>
      <c r="AJ79" s="164">
        <f>SUM(AJ23:AJ28)*'Premissas Adotadas'!$K$23</f>
        <v>-19246674.812693644</v>
      </c>
      <c r="AK79" s="164">
        <f>SUM(AK23:AK28)*'Premissas Adotadas'!$K$23</f>
        <v>-19246674.812693644</v>
      </c>
      <c r="AL79" s="164">
        <f>SUM(AL23:AL28)*'Premissas Adotadas'!$K$23</f>
        <v>-19246674.812693644</v>
      </c>
      <c r="AM79" s="164">
        <f>SUM(AM23:AM28)*'Premissas Adotadas'!$K$23</f>
        <v>-19246674.812693644</v>
      </c>
    </row>
    <row r="80" spans="2:39" x14ac:dyDescent="0.2">
      <c r="D80" s="181"/>
    </row>
    <row r="81" spans="2:39" x14ac:dyDescent="0.2">
      <c r="B81" s="161" t="s">
        <v>150</v>
      </c>
      <c r="C81" s="161"/>
      <c r="D81" s="191"/>
      <c r="E81" s="165"/>
      <c r="F81" s="165"/>
      <c r="G81" s="165"/>
      <c r="H81" s="165"/>
      <c r="I81" s="165"/>
      <c r="J81" s="165"/>
      <c r="K81" s="165"/>
      <c r="L81" s="165"/>
      <c r="M81" s="165"/>
      <c r="N81" s="165"/>
      <c r="O81" s="165"/>
      <c r="P81" s="165"/>
      <c r="Q81" s="165"/>
      <c r="R81" s="165"/>
      <c r="S81" s="165"/>
      <c r="T81" s="165"/>
      <c r="U81" s="165"/>
      <c r="V81" s="165"/>
      <c r="W81" s="165"/>
      <c r="X81" s="165"/>
      <c r="Y81" s="165"/>
      <c r="Z81" s="165"/>
      <c r="AA81" s="165"/>
      <c r="AB81" s="165"/>
      <c r="AC81" s="165"/>
      <c r="AD81" s="165"/>
      <c r="AE81" s="165"/>
      <c r="AF81" s="165"/>
      <c r="AG81" s="165"/>
      <c r="AH81" s="165"/>
      <c r="AI81" s="165"/>
      <c r="AJ81" s="165"/>
      <c r="AK81" s="165"/>
      <c r="AL81" s="165"/>
      <c r="AM81" s="165"/>
    </row>
    <row r="82" spans="2:39" x14ac:dyDescent="0.2">
      <c r="B82" s="143" t="s">
        <v>173</v>
      </c>
      <c r="D82" s="181"/>
      <c r="E82" s="146">
        <f t="shared" ref="E82:AM82" si="31">E46</f>
        <v>-17977831.013228405</v>
      </c>
      <c r="F82" s="146">
        <f t="shared" si="31"/>
        <v>-9158817.5826015323</v>
      </c>
      <c r="G82" s="146">
        <f t="shared" si="31"/>
        <v>-21961666.390022244</v>
      </c>
      <c r="H82" s="146">
        <f t="shared" si="31"/>
        <v>-55851995.687213644</v>
      </c>
      <c r="I82" s="146">
        <f t="shared" si="31"/>
        <v>-66415495.327421047</v>
      </c>
      <c r="J82" s="146">
        <f t="shared" si="31"/>
        <v>-38439800.490270607</v>
      </c>
      <c r="K82" s="146">
        <f t="shared" si="31"/>
        <v>-6044479.0870287158</v>
      </c>
      <c r="L82" s="146">
        <f t="shared" si="31"/>
        <v>40567803.413963944</v>
      </c>
      <c r="M82" s="146">
        <f t="shared" si="31"/>
        <v>61184821.940371886</v>
      </c>
      <c r="N82" s="146">
        <f t="shared" si="31"/>
        <v>62497205.023783728</v>
      </c>
      <c r="O82" s="146">
        <f t="shared" si="31"/>
        <v>85641241.614220694</v>
      </c>
      <c r="P82" s="146">
        <f t="shared" si="31"/>
        <v>87018459.377362832</v>
      </c>
      <c r="Q82" s="146">
        <f t="shared" si="31"/>
        <v>88402009.537911311</v>
      </c>
      <c r="R82" s="146">
        <f t="shared" si="31"/>
        <v>89782393.499756604</v>
      </c>
      <c r="S82" s="146">
        <f t="shared" si="31"/>
        <v>91162777.461601913</v>
      </c>
      <c r="T82" s="146">
        <f t="shared" si="31"/>
        <v>92543161.423447222</v>
      </c>
      <c r="U82" s="146">
        <f t="shared" si="31"/>
        <v>93787644.729676291</v>
      </c>
      <c r="V82" s="146">
        <f t="shared" si="31"/>
        <v>13036991.380134305</v>
      </c>
      <c r="W82" s="146">
        <f t="shared" si="31"/>
        <v>73297654.614342108</v>
      </c>
      <c r="X82" s="146">
        <f t="shared" si="31"/>
        <v>23780575.254768532</v>
      </c>
      <c r="Y82" s="146">
        <f t="shared" si="31"/>
        <v>111348289.80563153</v>
      </c>
      <c r="Z82" s="146">
        <f t="shared" si="31"/>
        <v>54547988.337375492</v>
      </c>
      <c r="AA82" s="146">
        <f t="shared" si="31"/>
        <v>114170043.53204496</v>
      </c>
      <c r="AB82" s="146">
        <f t="shared" si="31"/>
        <v>121045625.89191563</v>
      </c>
      <c r="AC82" s="146">
        <f t="shared" si="31"/>
        <v>114170043.53204496</v>
      </c>
      <c r="AD82" s="146">
        <f t="shared" si="31"/>
        <v>121048792.0906188</v>
      </c>
      <c r="AE82" s="146">
        <f t="shared" si="31"/>
        <v>123791147.06479099</v>
      </c>
      <c r="AF82" s="146">
        <f t="shared" si="31"/>
        <v>109444212.84652351</v>
      </c>
      <c r="AG82" s="146">
        <f t="shared" si="31"/>
        <v>111606161.16584454</v>
      </c>
      <c r="AH82" s="146">
        <f t="shared" si="31"/>
        <v>113908899.74321146</v>
      </c>
      <c r="AI82" s="146">
        <f t="shared" si="31"/>
        <v>134017030.36522251</v>
      </c>
      <c r="AJ82" s="146">
        <f t="shared" si="31"/>
        <v>134319374.20901883</v>
      </c>
      <c r="AK82" s="146">
        <f t="shared" si="31"/>
        <v>134319374.20901883</v>
      </c>
      <c r="AL82" s="146">
        <f t="shared" si="31"/>
        <v>134319374.20901883</v>
      </c>
      <c r="AM82" s="146">
        <f t="shared" si="31"/>
        <v>134319374.20901883</v>
      </c>
    </row>
    <row r="83" spans="2:39" x14ac:dyDescent="0.2">
      <c r="B83" s="143" t="s">
        <v>122</v>
      </c>
      <c r="D83" s="181"/>
      <c r="E83" s="146">
        <f>IF(E82&lt;0,-E82,0)</f>
        <v>17977831.013228405</v>
      </c>
      <c r="F83" s="146">
        <f t="shared" ref="F83:H83" si="32">E83+IF(F82&lt;0,-F82,0)-E84</f>
        <v>27136648.595829938</v>
      </c>
      <c r="G83" s="146">
        <f t="shared" si="32"/>
        <v>49098314.985852182</v>
      </c>
      <c r="H83" s="146">
        <f t="shared" si="32"/>
        <v>104950310.67306583</v>
      </c>
      <c r="I83" s="146">
        <f>H83+IF(I82&lt;0,-I82,0)-H84</f>
        <v>171365806.00048688</v>
      </c>
      <c r="J83" s="146">
        <f t="shared" ref="J83:AM83" si="33">I83+IF(J82&lt;0,-J82,0)-I84</f>
        <v>209805606.4907575</v>
      </c>
      <c r="K83" s="146">
        <f t="shared" si="33"/>
        <v>215850085.57778621</v>
      </c>
      <c r="L83" s="146">
        <f t="shared" si="33"/>
        <v>215850085.57778621</v>
      </c>
      <c r="M83" s="146">
        <f t="shared" si="33"/>
        <v>203679744.55359703</v>
      </c>
      <c r="N83" s="146">
        <f t="shared" si="33"/>
        <v>185324297.97148547</v>
      </c>
      <c r="O83" s="146">
        <f t="shared" si="33"/>
        <v>166575136.46435034</v>
      </c>
      <c r="P83" s="146">
        <f t="shared" si="33"/>
        <v>140882763.98008412</v>
      </c>
      <c r="Q83" s="146">
        <f t="shared" si="33"/>
        <v>114777226.16687527</v>
      </c>
      <c r="R83" s="146">
        <f t="shared" si="33"/>
        <v>88256623.305501878</v>
      </c>
      <c r="S83" s="146">
        <f t="shared" si="33"/>
        <v>61321905.255574897</v>
      </c>
      <c r="T83" s="146">
        <f t="shared" si="33"/>
        <v>33973072.017094329</v>
      </c>
      <c r="U83" s="146">
        <f t="shared" si="33"/>
        <v>6210123.5900601633</v>
      </c>
      <c r="V83" s="146">
        <f t="shared" si="33"/>
        <v>0</v>
      </c>
      <c r="W83" s="146">
        <f t="shared" si="33"/>
        <v>0</v>
      </c>
      <c r="X83" s="146">
        <f t="shared" si="33"/>
        <v>0</v>
      </c>
      <c r="Y83" s="146">
        <f t="shared" si="33"/>
        <v>0</v>
      </c>
      <c r="Z83" s="146">
        <f t="shared" si="33"/>
        <v>0</v>
      </c>
      <c r="AA83" s="146">
        <f t="shared" si="33"/>
        <v>0</v>
      </c>
      <c r="AB83" s="146">
        <f t="shared" si="33"/>
        <v>0</v>
      </c>
      <c r="AC83" s="146">
        <f t="shared" si="33"/>
        <v>0</v>
      </c>
      <c r="AD83" s="146">
        <f t="shared" si="33"/>
        <v>0</v>
      </c>
      <c r="AE83" s="146">
        <f t="shared" si="33"/>
        <v>0</v>
      </c>
      <c r="AF83" s="146">
        <f t="shared" si="33"/>
        <v>0</v>
      </c>
      <c r="AG83" s="146">
        <f t="shared" si="33"/>
        <v>0</v>
      </c>
      <c r="AH83" s="146">
        <f t="shared" si="33"/>
        <v>0</v>
      </c>
      <c r="AI83" s="146">
        <f t="shared" si="33"/>
        <v>0</v>
      </c>
      <c r="AJ83" s="146">
        <f t="shared" si="33"/>
        <v>0</v>
      </c>
      <c r="AK83" s="146">
        <f t="shared" si="33"/>
        <v>0</v>
      </c>
      <c r="AL83" s="146">
        <f t="shared" si="33"/>
        <v>0</v>
      </c>
      <c r="AM83" s="146">
        <f t="shared" si="33"/>
        <v>0</v>
      </c>
    </row>
    <row r="84" spans="2:39" x14ac:dyDescent="0.2">
      <c r="B84" s="143" t="s">
        <v>123</v>
      </c>
      <c r="D84" s="181"/>
      <c r="E84" s="146">
        <f t="shared" ref="E84:G84" si="34">IF(E82&lt;0,0,IF(E83&lt;=E82*0.3,E83,E82*0.3))</f>
        <v>0</v>
      </c>
      <c r="F84" s="146">
        <f t="shared" si="34"/>
        <v>0</v>
      </c>
      <c r="G84" s="146">
        <f t="shared" si="34"/>
        <v>0</v>
      </c>
      <c r="H84" s="146">
        <f>IF(H82&lt;0,0,IF(H83&lt;=H82*0.3,H83,H82*0.3))</f>
        <v>0</v>
      </c>
      <c r="I84" s="146">
        <f t="shared" ref="I84:AM84" si="35">IF(I82&lt;0,0,IF(I83&lt;=I82*0.3,I83,I82*0.3))</f>
        <v>0</v>
      </c>
      <c r="J84" s="146">
        <f t="shared" si="35"/>
        <v>0</v>
      </c>
      <c r="K84" s="146">
        <f t="shared" si="35"/>
        <v>0</v>
      </c>
      <c r="L84" s="146">
        <f t="shared" si="35"/>
        <v>12170341.024189183</v>
      </c>
      <c r="M84" s="146">
        <f t="shared" si="35"/>
        <v>18355446.582111564</v>
      </c>
      <c r="N84" s="146">
        <f t="shared" si="35"/>
        <v>18749161.507135119</v>
      </c>
      <c r="O84" s="146">
        <f t="shared" si="35"/>
        <v>25692372.484266207</v>
      </c>
      <c r="P84" s="146">
        <f t="shared" si="35"/>
        <v>26105537.813208848</v>
      </c>
      <c r="Q84" s="146">
        <f t="shared" si="35"/>
        <v>26520602.861373391</v>
      </c>
      <c r="R84" s="146">
        <f t="shared" si="35"/>
        <v>26934718.049926981</v>
      </c>
      <c r="S84" s="146">
        <f t="shared" si="35"/>
        <v>27348833.238480572</v>
      </c>
      <c r="T84" s="146">
        <f t="shared" si="35"/>
        <v>27762948.427034166</v>
      </c>
      <c r="U84" s="146">
        <f t="shared" si="35"/>
        <v>6210123.5900601633</v>
      </c>
      <c r="V84" s="146">
        <f t="shared" si="35"/>
        <v>0</v>
      </c>
      <c r="W84" s="146">
        <f t="shared" si="35"/>
        <v>0</v>
      </c>
      <c r="X84" s="146">
        <f t="shared" si="35"/>
        <v>0</v>
      </c>
      <c r="Y84" s="146">
        <f t="shared" si="35"/>
        <v>0</v>
      </c>
      <c r="Z84" s="146">
        <f t="shared" si="35"/>
        <v>0</v>
      </c>
      <c r="AA84" s="146">
        <f t="shared" si="35"/>
        <v>0</v>
      </c>
      <c r="AB84" s="146">
        <f t="shared" si="35"/>
        <v>0</v>
      </c>
      <c r="AC84" s="146">
        <f t="shared" si="35"/>
        <v>0</v>
      </c>
      <c r="AD84" s="146">
        <f t="shared" si="35"/>
        <v>0</v>
      </c>
      <c r="AE84" s="146">
        <f t="shared" si="35"/>
        <v>0</v>
      </c>
      <c r="AF84" s="146">
        <f t="shared" si="35"/>
        <v>0</v>
      </c>
      <c r="AG84" s="146">
        <f t="shared" si="35"/>
        <v>0</v>
      </c>
      <c r="AH84" s="146">
        <f t="shared" si="35"/>
        <v>0</v>
      </c>
      <c r="AI84" s="146">
        <f t="shared" si="35"/>
        <v>0</v>
      </c>
      <c r="AJ84" s="146">
        <f t="shared" si="35"/>
        <v>0</v>
      </c>
      <c r="AK84" s="146">
        <f t="shared" si="35"/>
        <v>0</v>
      </c>
      <c r="AL84" s="146">
        <f t="shared" si="35"/>
        <v>0</v>
      </c>
      <c r="AM84" s="146">
        <f t="shared" si="35"/>
        <v>0</v>
      </c>
    </row>
    <row r="85" spans="2:39" x14ac:dyDescent="0.2">
      <c r="B85" s="166" t="s">
        <v>121</v>
      </c>
      <c r="C85" s="166"/>
      <c r="D85" s="181"/>
      <c r="E85" s="167">
        <f>IF(E82&lt;=0,0,E82-E84)</f>
        <v>0</v>
      </c>
      <c r="F85" s="167">
        <f t="shared" ref="F85:AM85" si="36">IF(F82&lt;=0,0,F82-F84)</f>
        <v>0</v>
      </c>
      <c r="G85" s="167">
        <f t="shared" si="36"/>
        <v>0</v>
      </c>
      <c r="H85" s="167">
        <f t="shared" si="36"/>
        <v>0</v>
      </c>
      <c r="I85" s="167">
        <f t="shared" si="36"/>
        <v>0</v>
      </c>
      <c r="J85" s="167">
        <f t="shared" si="36"/>
        <v>0</v>
      </c>
      <c r="K85" s="167">
        <f t="shared" si="36"/>
        <v>0</v>
      </c>
      <c r="L85" s="167">
        <f t="shared" si="36"/>
        <v>28397462.389774762</v>
      </c>
      <c r="M85" s="167">
        <f t="shared" si="36"/>
        <v>42829375.358260319</v>
      </c>
      <c r="N85" s="167">
        <f t="shared" si="36"/>
        <v>43748043.516648605</v>
      </c>
      <c r="O85" s="167">
        <f t="shared" si="36"/>
        <v>59948869.129954487</v>
      </c>
      <c r="P85" s="167">
        <f t="shared" si="36"/>
        <v>60912921.564153984</v>
      </c>
      <c r="Q85" s="167">
        <f t="shared" si="36"/>
        <v>61881406.676537916</v>
      </c>
      <c r="R85" s="167">
        <f t="shared" si="36"/>
        <v>62847675.449829623</v>
      </c>
      <c r="S85" s="167">
        <f t="shared" si="36"/>
        <v>63813944.223121345</v>
      </c>
      <c r="T85" s="167">
        <f t="shared" si="36"/>
        <v>64780212.996413052</v>
      </c>
      <c r="U85" s="167">
        <f t="shared" si="36"/>
        <v>87577521.139616132</v>
      </c>
      <c r="V85" s="167">
        <f t="shared" si="36"/>
        <v>13036991.380134305</v>
      </c>
      <c r="W85" s="167">
        <f t="shared" si="36"/>
        <v>73297654.614342108</v>
      </c>
      <c r="X85" s="167">
        <f t="shared" si="36"/>
        <v>23780575.254768532</v>
      </c>
      <c r="Y85" s="167">
        <f t="shared" si="36"/>
        <v>111348289.80563153</v>
      </c>
      <c r="Z85" s="167">
        <f t="shared" si="36"/>
        <v>54547988.337375492</v>
      </c>
      <c r="AA85" s="167">
        <f t="shared" si="36"/>
        <v>114170043.53204496</v>
      </c>
      <c r="AB85" s="167">
        <f t="shared" si="36"/>
        <v>121045625.89191563</v>
      </c>
      <c r="AC85" s="167">
        <f t="shared" si="36"/>
        <v>114170043.53204496</v>
      </c>
      <c r="AD85" s="167">
        <f t="shared" si="36"/>
        <v>121048792.0906188</v>
      </c>
      <c r="AE85" s="167">
        <f t="shared" si="36"/>
        <v>123791147.06479099</v>
      </c>
      <c r="AF85" s="167">
        <f t="shared" si="36"/>
        <v>109444212.84652351</v>
      </c>
      <c r="AG85" s="167">
        <f t="shared" si="36"/>
        <v>111606161.16584454</v>
      </c>
      <c r="AH85" s="167">
        <f t="shared" si="36"/>
        <v>113908899.74321146</v>
      </c>
      <c r="AI85" s="167">
        <f t="shared" si="36"/>
        <v>134017030.36522251</v>
      </c>
      <c r="AJ85" s="167">
        <f t="shared" si="36"/>
        <v>134319374.20901883</v>
      </c>
      <c r="AK85" s="167">
        <f t="shared" si="36"/>
        <v>134319374.20901883</v>
      </c>
      <c r="AL85" s="167">
        <f t="shared" si="36"/>
        <v>134319374.20901883</v>
      </c>
      <c r="AM85" s="167">
        <f t="shared" si="36"/>
        <v>134319374.20901883</v>
      </c>
    </row>
    <row r="87" spans="2:39" x14ac:dyDescent="0.2">
      <c r="B87" s="165" t="s">
        <v>177</v>
      </c>
      <c r="C87" s="165"/>
      <c r="D87" s="181"/>
      <c r="E87" s="205">
        <f t="shared" ref="E87:AM87" si="37">E56+E57</f>
        <v>-16347023.145833613</v>
      </c>
      <c r="F87" s="205">
        <f t="shared" si="37"/>
        <v>-2841534.7587562092</v>
      </c>
      <c r="G87" s="205">
        <f t="shared" si="37"/>
        <v>-10373485.116502943</v>
      </c>
      <c r="H87" s="205">
        <f t="shared" si="37"/>
        <v>-36143562.305619396</v>
      </c>
      <c r="I87" s="205">
        <f t="shared" si="37"/>
        <v>-33885699.555766925</v>
      </c>
      <c r="J87" s="205">
        <f t="shared" si="37"/>
        <v>4517963.3248058558</v>
      </c>
      <c r="K87" s="205">
        <f t="shared" si="37"/>
        <v>44912427.27222389</v>
      </c>
      <c r="L87" s="205">
        <f t="shared" si="37"/>
        <v>83386556.771365777</v>
      </c>
      <c r="M87" s="205">
        <f t="shared" si="37"/>
        <v>98017733.958618656</v>
      </c>
      <c r="N87" s="205">
        <f t="shared" si="37"/>
        <v>97705386.784766644</v>
      </c>
      <c r="O87" s="205">
        <f t="shared" si="37"/>
        <v>113960758.7048343</v>
      </c>
      <c r="P87" s="205">
        <f t="shared" si="37"/>
        <v>113629814.6785033</v>
      </c>
      <c r="Q87" s="205">
        <f t="shared" si="37"/>
        <v>113303695.93899593</v>
      </c>
      <c r="R87" s="205">
        <f t="shared" si="37"/>
        <v>112975164.55607675</v>
      </c>
      <c r="S87" s="205">
        <f t="shared" si="37"/>
        <v>112646633.17315757</v>
      </c>
      <c r="T87" s="205">
        <f t="shared" si="37"/>
        <v>112318101.79023838</v>
      </c>
      <c r="U87" s="205">
        <f t="shared" si="37"/>
        <v>104567017.02154934</v>
      </c>
      <c r="V87" s="205">
        <f t="shared" si="37"/>
        <v>48077670.482525289</v>
      </c>
      <c r="W87" s="205">
        <f t="shared" si="37"/>
        <v>84927270.452977002</v>
      </c>
      <c r="X87" s="205">
        <f t="shared" si="37"/>
        <v>44428018.163852826</v>
      </c>
      <c r="Y87" s="205">
        <f t="shared" si="37"/>
        <v>96484955.675104111</v>
      </c>
      <c r="Z87" s="205">
        <f t="shared" si="37"/>
        <v>51583250.344358116</v>
      </c>
      <c r="AA87" s="205">
        <f t="shared" si="37"/>
        <v>88646810.849549696</v>
      </c>
      <c r="AB87" s="205">
        <f t="shared" si="37"/>
        <v>93184695.207064345</v>
      </c>
      <c r="AC87" s="205">
        <f t="shared" si="37"/>
        <v>88646810.849549696</v>
      </c>
      <c r="AD87" s="205">
        <f t="shared" si="37"/>
        <v>93186784.898208439</v>
      </c>
      <c r="AE87" s="205">
        <f t="shared" si="37"/>
        <v>92254384.206989884</v>
      </c>
      <c r="AF87" s="205">
        <f t="shared" si="37"/>
        <v>79516189.212609172</v>
      </c>
      <c r="AG87" s="205">
        <f t="shared" si="37"/>
        <v>78781126.784040034</v>
      </c>
      <c r="AH87" s="205">
        <f t="shared" si="37"/>
        <v>77995029.469032109</v>
      </c>
      <c r="AI87" s="205">
        <f t="shared" si="37"/>
        <v>88777583.884843171</v>
      </c>
      <c r="AJ87" s="205">
        <f t="shared" si="37"/>
        <v>88674786.977952421</v>
      </c>
      <c r="AK87" s="205">
        <f t="shared" si="37"/>
        <v>88674786.977952421</v>
      </c>
      <c r="AL87" s="205">
        <f t="shared" si="37"/>
        <v>88674786.977952421</v>
      </c>
      <c r="AM87" s="205">
        <f t="shared" si="37"/>
        <v>88674786.977952421</v>
      </c>
    </row>
    <row r="88" spans="2:39" x14ac:dyDescent="0.2">
      <c r="B88" s="181" t="s">
        <v>178</v>
      </c>
      <c r="C88" s="181"/>
      <c r="D88" s="181"/>
      <c r="E88" s="206">
        <f>-(E64+E65)</f>
        <v>1630807.8673947928</v>
      </c>
      <c r="F88" s="206">
        <f t="shared" ref="F88:AM88" si="38">-(F64+F65)</f>
        <v>3574927.8496731408</v>
      </c>
      <c r="G88" s="206">
        <f t="shared" si="38"/>
        <v>5576607.8890229426</v>
      </c>
      <c r="H88" s="206">
        <f t="shared" si="38"/>
        <v>11640155.076223224</v>
      </c>
      <c r="I88" s="206">
        <f t="shared" si="38"/>
        <v>17441781.476131059</v>
      </c>
      <c r="J88" s="206">
        <f t="shared" si="38"/>
        <v>22536897.563636087</v>
      </c>
      <c r="K88" s="206">
        <f t="shared" si="38"/>
        <v>28005712.314153358</v>
      </c>
      <c r="L88" s="206">
        <f t="shared" si="38"/>
        <v>31640525.785470508</v>
      </c>
      <c r="M88" s="206">
        <f t="shared" si="38"/>
        <v>34188652.149644479</v>
      </c>
      <c r="N88" s="206">
        <f t="shared" si="38"/>
        <v>33933061.929373689</v>
      </c>
      <c r="O88" s="206">
        <f t="shared" si="38"/>
        <v>32552677.967528388</v>
      </c>
      <c r="P88" s="206">
        <f t="shared" si="38"/>
        <v>31172294.005683079</v>
      </c>
      <c r="Q88" s="206">
        <f t="shared" si="38"/>
        <v>29791910.043837775</v>
      </c>
      <c r="R88" s="206">
        <f t="shared" si="38"/>
        <v>28411526.081992466</v>
      </c>
      <c r="S88" s="206">
        <f t="shared" si="38"/>
        <v>27031142.120147161</v>
      </c>
      <c r="T88" s="206">
        <f t="shared" si="38"/>
        <v>23538743.633490119</v>
      </c>
      <c r="U88" s="206">
        <f t="shared" si="38"/>
        <v>19776483.878765047</v>
      </c>
      <c r="V88" s="206">
        <f t="shared" si="38"/>
        <v>16101689.671917301</v>
      </c>
      <c r="W88" s="206">
        <f t="shared" si="38"/>
        <v>10068501.500756254</v>
      </c>
      <c r="X88" s="206">
        <f t="shared" si="38"/>
        <v>5053304.0675937999</v>
      </c>
      <c r="Y88" s="206">
        <f t="shared" si="38"/>
        <v>1124793.7415745277</v>
      </c>
      <c r="Z88" s="206">
        <f t="shared" si="38"/>
        <v>1.4981827420401348E-9</v>
      </c>
      <c r="AA88" s="206">
        <f t="shared" si="38"/>
        <v>1.4981827420401348E-9</v>
      </c>
      <c r="AB88" s="206">
        <f t="shared" si="38"/>
        <v>1.4981827420401348E-9</v>
      </c>
      <c r="AC88" s="206">
        <f t="shared" si="38"/>
        <v>1.4981827420401348E-9</v>
      </c>
      <c r="AD88" s="206">
        <f t="shared" si="38"/>
        <v>1.4981827420401348E-9</v>
      </c>
      <c r="AE88" s="206">
        <f t="shared" si="38"/>
        <v>1.4981827420401348E-9</v>
      </c>
      <c r="AF88" s="206">
        <f t="shared" si="38"/>
        <v>1.4981827420401348E-9</v>
      </c>
      <c r="AG88" s="206">
        <f t="shared" si="38"/>
        <v>1.4981827420401348E-9</v>
      </c>
      <c r="AH88" s="206">
        <f t="shared" si="38"/>
        <v>1.4981827420401348E-9</v>
      </c>
      <c r="AI88" s="206">
        <f t="shared" si="38"/>
        <v>1.4981827420401348E-9</v>
      </c>
      <c r="AJ88" s="206">
        <f t="shared" si="38"/>
        <v>1.4981827420401348E-9</v>
      </c>
      <c r="AK88" s="206">
        <f t="shared" si="38"/>
        <v>1.4981827420401348E-9</v>
      </c>
      <c r="AL88" s="206">
        <f t="shared" si="38"/>
        <v>1.4981827420401348E-9</v>
      </c>
      <c r="AM88" s="206">
        <f t="shared" si="38"/>
        <v>1.4981827420401348E-9</v>
      </c>
    </row>
    <row r="89" spans="2:39" x14ac:dyDescent="0.2">
      <c r="B89" s="181" t="s">
        <v>176</v>
      </c>
      <c r="C89" s="181"/>
      <c r="D89" s="181"/>
      <c r="E89" s="181"/>
      <c r="F89" s="181"/>
      <c r="G89" s="181"/>
      <c r="H89" s="207"/>
      <c r="I89" s="207"/>
      <c r="J89" s="207"/>
      <c r="K89" s="207">
        <f t="shared" ref="H89:Y89" si="39">IF(K88&gt;0.1,K87/K88,"")</f>
        <v>1.6036880893590526</v>
      </c>
      <c r="L89" s="207">
        <f t="shared" si="39"/>
        <v>2.6354352432935015</v>
      </c>
      <c r="M89" s="207">
        <f t="shared" si="39"/>
        <v>2.8669668967818001</v>
      </c>
      <c r="N89" s="207">
        <f t="shared" si="39"/>
        <v>2.8793566282973515</v>
      </c>
      <c r="O89" s="207">
        <f t="shared" si="39"/>
        <v>3.500810557537271</v>
      </c>
      <c r="P89" s="207">
        <f t="shared" si="39"/>
        <v>3.6452182395619404</v>
      </c>
      <c r="Q89" s="207">
        <f t="shared" si="39"/>
        <v>3.8031699133178578</v>
      </c>
      <c r="R89" s="207">
        <f t="shared" si="39"/>
        <v>3.9763849442667438</v>
      </c>
      <c r="S89" s="207">
        <f t="shared" si="39"/>
        <v>4.167290922169304</v>
      </c>
      <c r="T89" s="207">
        <f t="shared" si="39"/>
        <v>4.7716268777589317</v>
      </c>
      <c r="U89" s="207">
        <f t="shared" si="39"/>
        <v>5.2874422805677774</v>
      </c>
      <c r="V89" s="207">
        <f t="shared" si="39"/>
        <v>2.9858773496533586</v>
      </c>
      <c r="W89" s="207">
        <f t="shared" si="39"/>
        <v>8.4349463966011271</v>
      </c>
      <c r="X89" s="207">
        <f t="shared" si="39"/>
        <v>8.7918750919352124</v>
      </c>
      <c r="Y89" s="207">
        <f t="shared" si="39"/>
        <v>85.780132044512371</v>
      </c>
      <c r="Z89" s="207" t="str">
        <f>IF(Z88&gt;0.1,Z87/Z88,"")</f>
        <v/>
      </c>
      <c r="AA89" s="207" t="str">
        <f t="shared" ref="AA89:AM89" si="40">IF(AA88&gt;0.1,AA87/AA88,"")</f>
        <v/>
      </c>
      <c r="AB89" s="207" t="str">
        <f t="shared" si="40"/>
        <v/>
      </c>
      <c r="AC89" s="207" t="str">
        <f t="shared" si="40"/>
        <v/>
      </c>
      <c r="AD89" s="207" t="str">
        <f t="shared" si="40"/>
        <v/>
      </c>
      <c r="AE89" s="207" t="str">
        <f t="shared" si="40"/>
        <v/>
      </c>
      <c r="AF89" s="207" t="str">
        <f t="shared" si="40"/>
        <v/>
      </c>
      <c r="AG89" s="207" t="str">
        <f t="shared" si="40"/>
        <v/>
      </c>
      <c r="AH89" s="207" t="str">
        <f t="shared" si="40"/>
        <v/>
      </c>
      <c r="AI89" s="207" t="str">
        <f t="shared" si="40"/>
        <v/>
      </c>
      <c r="AJ89" s="207" t="str">
        <f t="shared" si="40"/>
        <v/>
      </c>
      <c r="AK89" s="207" t="str">
        <f t="shared" si="40"/>
        <v/>
      </c>
      <c r="AL89" s="207" t="str">
        <f t="shared" si="40"/>
        <v/>
      </c>
      <c r="AM89" s="207" t="str">
        <f t="shared" si="40"/>
        <v/>
      </c>
    </row>
    <row r="90" spans="2:39" x14ac:dyDescent="0.2">
      <c r="B90" s="166"/>
      <c r="C90" s="166"/>
      <c r="D90" s="181"/>
      <c r="E90" s="166">
        <v>1.3</v>
      </c>
      <c r="F90" s="166">
        <v>1.3</v>
      </c>
      <c r="G90" s="166">
        <v>1.3</v>
      </c>
      <c r="H90" s="166">
        <v>1.3</v>
      </c>
      <c r="I90" s="166">
        <v>1.3</v>
      </c>
      <c r="J90" s="166">
        <v>1.3</v>
      </c>
      <c r="K90" s="166">
        <v>1.3</v>
      </c>
      <c r="L90" s="166">
        <v>1.3</v>
      </c>
      <c r="M90" s="166">
        <v>1.3</v>
      </c>
      <c r="N90" s="166">
        <v>1.3</v>
      </c>
      <c r="O90" s="166">
        <v>1.3</v>
      </c>
      <c r="P90" s="166">
        <v>1.3</v>
      </c>
      <c r="Q90" s="166">
        <v>1.3</v>
      </c>
      <c r="R90" s="166">
        <v>1.3</v>
      </c>
      <c r="S90" s="166">
        <v>1.3</v>
      </c>
      <c r="T90" s="166">
        <v>1.3</v>
      </c>
      <c r="U90" s="166">
        <v>1.3</v>
      </c>
      <c r="V90" s="166">
        <v>1.3</v>
      </c>
      <c r="W90" s="166">
        <v>1.3</v>
      </c>
      <c r="X90" s="166">
        <v>1.3</v>
      </c>
      <c r="Y90" s="166">
        <v>1.3</v>
      </c>
      <c r="Z90" s="166"/>
      <c r="AA90" s="166"/>
      <c r="AB90" s="166"/>
      <c r="AC90" s="166"/>
      <c r="AD90" s="166"/>
      <c r="AE90" s="166"/>
      <c r="AF90" s="166"/>
      <c r="AG90" s="166"/>
      <c r="AH90" s="166"/>
      <c r="AI90" s="166"/>
      <c r="AJ90" s="166"/>
      <c r="AK90" s="166"/>
      <c r="AL90" s="166"/>
      <c r="AM90" s="166"/>
    </row>
    <row r="119" spans="5:40" x14ac:dyDescent="0.2">
      <c r="E119" s="146">
        <f>E66</f>
        <v>-61192531.069792196</v>
      </c>
      <c r="F119" s="146">
        <f t="shared" ref="F119:AM119" si="41">F66</f>
        <v>-57933605.484581724</v>
      </c>
      <c r="G119" s="146">
        <f t="shared" si="41"/>
        <v>-72109930.652819097</v>
      </c>
      <c r="H119" s="146">
        <f t="shared" si="41"/>
        <v>-164080484.50232154</v>
      </c>
      <c r="I119" s="146">
        <f t="shared" si="41"/>
        <v>-157093448.78449059</v>
      </c>
      <c r="J119" s="146">
        <f t="shared" si="41"/>
        <v>-124182522.06545618</v>
      </c>
      <c r="K119" s="146">
        <f t="shared" si="41"/>
        <v>-24278671.438602105</v>
      </c>
      <c r="L119" s="146">
        <f t="shared" si="41"/>
        <v>36653797.970401742</v>
      </c>
      <c r="M119" s="146">
        <f t="shared" si="41"/>
        <v>57635294.027271926</v>
      </c>
      <c r="N119" s="146">
        <f t="shared" si="41"/>
        <v>63772324.855392955</v>
      </c>
      <c r="O119" s="146">
        <f t="shared" si="41"/>
        <v>76206315.316484064</v>
      </c>
      <c r="P119" s="146">
        <f t="shared" si="41"/>
        <v>82457520.672820225</v>
      </c>
      <c r="Q119" s="146">
        <f t="shared" si="41"/>
        <v>83511785.895158157</v>
      </c>
      <c r="R119" s="146">
        <f t="shared" si="41"/>
        <v>84563638.474084288</v>
      </c>
      <c r="S119" s="146">
        <f t="shared" si="41"/>
        <v>85615491.053010404</v>
      </c>
      <c r="T119" s="146">
        <f t="shared" si="41"/>
        <v>88779358.156748265</v>
      </c>
      <c r="U119" s="146">
        <f t="shared" si="41"/>
        <v>84790533.142784297</v>
      </c>
      <c r="V119" s="146">
        <f t="shared" si="41"/>
        <v>57084602.295129851</v>
      </c>
      <c r="W119" s="146">
        <f t="shared" si="41"/>
        <v>56988528.952617027</v>
      </c>
      <c r="X119" s="146">
        <f t="shared" si="41"/>
        <v>57244954.095862746</v>
      </c>
      <c r="Y119" s="146">
        <f t="shared" si="41"/>
        <v>70251540.44900772</v>
      </c>
      <c r="Z119" s="146">
        <f t="shared" si="41"/>
        <v>71490106.408058137</v>
      </c>
      <c r="AA119" s="146">
        <f t="shared" si="41"/>
        <v>70776570.849945977</v>
      </c>
      <c r="AB119" s="146">
        <f t="shared" si="41"/>
        <v>91148079.142968044</v>
      </c>
      <c r="AC119" s="146">
        <f t="shared" si="41"/>
        <v>90683426.913645998</v>
      </c>
      <c r="AD119" s="146">
        <f t="shared" si="41"/>
        <v>91150168.834112138</v>
      </c>
      <c r="AE119" s="146">
        <f t="shared" si="41"/>
        <v>92254384.206989884</v>
      </c>
      <c r="AF119" s="146">
        <f t="shared" si="41"/>
        <v>84717954.633431017</v>
      </c>
      <c r="AG119" s="146">
        <f t="shared" si="41"/>
        <v>78781126.784040034</v>
      </c>
      <c r="AH119" s="146">
        <f t="shared" si="41"/>
        <v>77995029.469032109</v>
      </c>
      <c r="AI119" s="146">
        <f t="shared" si="41"/>
        <v>83575818.464021325</v>
      </c>
      <c r="AJ119" s="146">
        <f t="shared" si="41"/>
        <v>88674786.977952421</v>
      </c>
      <c r="AK119" s="146">
        <f t="shared" si="41"/>
        <v>88674786.977952421</v>
      </c>
      <c r="AL119" s="146">
        <f t="shared" si="41"/>
        <v>88674786.977952421</v>
      </c>
      <c r="AM119" s="146">
        <f t="shared" si="41"/>
        <v>88674786.977952421</v>
      </c>
      <c r="AN119" s="146">
        <f>AM119/C69</f>
        <v>933370762.38791978</v>
      </c>
    </row>
    <row r="120" spans="5:40" x14ac:dyDescent="0.2">
      <c r="E120" s="146">
        <f>E119</f>
        <v>-61192531.069792196</v>
      </c>
      <c r="F120" s="146">
        <f t="shared" ref="F120:AM120" si="42">F119</f>
        <v>-57933605.484581724</v>
      </c>
      <c r="G120" s="146">
        <f t="shared" si="42"/>
        <v>-72109930.652819097</v>
      </c>
      <c r="H120" s="146">
        <f t="shared" si="42"/>
        <v>-164080484.50232154</v>
      </c>
      <c r="I120" s="146">
        <f t="shared" si="42"/>
        <v>-157093448.78449059</v>
      </c>
      <c r="J120" s="146">
        <f t="shared" si="42"/>
        <v>-124182522.06545618</v>
      </c>
      <c r="K120" s="146">
        <f t="shared" si="42"/>
        <v>-24278671.438602105</v>
      </c>
      <c r="L120" s="146">
        <f t="shared" si="42"/>
        <v>36653797.970401742</v>
      </c>
      <c r="M120" s="146">
        <f t="shared" si="42"/>
        <v>57635294.027271926</v>
      </c>
      <c r="N120" s="146">
        <f t="shared" si="42"/>
        <v>63772324.855392955</v>
      </c>
      <c r="O120" s="146">
        <f t="shared" si="42"/>
        <v>76206315.316484064</v>
      </c>
      <c r="P120" s="146">
        <f t="shared" si="42"/>
        <v>82457520.672820225</v>
      </c>
      <c r="Q120" s="146">
        <f t="shared" si="42"/>
        <v>83511785.895158157</v>
      </c>
      <c r="R120" s="146">
        <f t="shared" si="42"/>
        <v>84563638.474084288</v>
      </c>
      <c r="S120" s="146">
        <f t="shared" si="42"/>
        <v>85615491.053010404</v>
      </c>
      <c r="T120" s="146">
        <f t="shared" si="42"/>
        <v>88779358.156748265</v>
      </c>
      <c r="U120" s="146">
        <f t="shared" si="42"/>
        <v>84790533.142784297</v>
      </c>
      <c r="V120" s="146">
        <f t="shared" si="42"/>
        <v>57084602.295129851</v>
      </c>
      <c r="W120" s="146">
        <f t="shared" si="42"/>
        <v>56988528.952617027</v>
      </c>
      <c r="X120" s="146">
        <f t="shared" si="42"/>
        <v>57244954.095862746</v>
      </c>
      <c r="Y120" s="146">
        <f t="shared" si="42"/>
        <v>70251540.44900772</v>
      </c>
      <c r="Z120" s="146">
        <f t="shared" si="42"/>
        <v>71490106.408058137</v>
      </c>
      <c r="AA120" s="146">
        <f t="shared" si="42"/>
        <v>70776570.849945977</v>
      </c>
      <c r="AB120" s="146">
        <f t="shared" si="42"/>
        <v>91148079.142968044</v>
      </c>
      <c r="AC120" s="146">
        <f t="shared" si="42"/>
        <v>90683426.913645998</v>
      </c>
      <c r="AD120" s="146">
        <f t="shared" si="42"/>
        <v>91150168.834112138</v>
      </c>
      <c r="AE120" s="146">
        <f t="shared" si="42"/>
        <v>92254384.206989884</v>
      </c>
      <c r="AF120" s="146">
        <f t="shared" si="42"/>
        <v>84717954.633431017</v>
      </c>
      <c r="AG120" s="146">
        <f t="shared" si="42"/>
        <v>78781126.784040034</v>
      </c>
      <c r="AH120" s="146">
        <f t="shared" si="42"/>
        <v>77995029.469032109</v>
      </c>
      <c r="AI120" s="146">
        <f t="shared" si="42"/>
        <v>83575818.464021325</v>
      </c>
      <c r="AJ120" s="146">
        <f t="shared" si="42"/>
        <v>88674786.977952421</v>
      </c>
      <c r="AK120" s="146">
        <f t="shared" si="42"/>
        <v>88674786.977952421</v>
      </c>
      <c r="AL120" s="146">
        <f t="shared" si="42"/>
        <v>88674786.977952421</v>
      </c>
      <c r="AM120" s="146">
        <f t="shared" si="42"/>
        <v>88674786.977952421</v>
      </c>
      <c r="AN120" s="146">
        <f>'Cronograma IUC'!C60*'Premissas Adotadas'!$L$12</f>
        <v>199472254.48536354</v>
      </c>
    </row>
  </sheetData>
  <conditionalFormatting sqref="F1:F8">
    <cfRule type="cellIs" dxfId="2" priority="1" operator="less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P168"/>
  <sheetViews>
    <sheetView showGridLines="0" workbookViewId="0">
      <selection activeCell="C11" sqref="C11"/>
    </sheetView>
  </sheetViews>
  <sheetFormatPr defaultRowHeight="15" x14ac:dyDescent="0.25"/>
  <cols>
    <col min="1" max="1" width="2.28515625" customWidth="1"/>
    <col min="2" max="2" width="40.42578125" customWidth="1"/>
    <col min="3" max="3" width="14.5703125" bestFit="1" customWidth="1"/>
    <col min="4" max="4" width="2" customWidth="1"/>
    <col min="5" max="7" width="13.5703125" bestFit="1" customWidth="1"/>
    <col min="8" max="21" width="14.5703125" bestFit="1" customWidth="1"/>
    <col min="22" max="39" width="13.5703125" bestFit="1" customWidth="1"/>
  </cols>
  <sheetData>
    <row r="1" spans="1:42" ht="5.25" customHeight="1" x14ac:dyDescent="0.25">
      <c r="A1" s="143"/>
      <c r="B1" s="153"/>
      <c r="C1" s="153"/>
      <c r="D1" s="153"/>
      <c r="E1" s="154"/>
      <c r="F1" s="155"/>
      <c r="G1" s="174"/>
      <c r="H1" s="155"/>
      <c r="I1" s="154"/>
      <c r="J1" s="155"/>
      <c r="K1" s="156"/>
      <c r="L1" s="154"/>
      <c r="M1" s="153"/>
      <c r="N1" s="154"/>
      <c r="O1" s="155"/>
      <c r="P1" s="156"/>
      <c r="Q1" s="155"/>
      <c r="R1" s="154"/>
      <c r="S1" s="155"/>
      <c r="T1" s="156"/>
      <c r="U1" s="155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</row>
    <row r="2" spans="1:42" x14ac:dyDescent="0.25">
      <c r="A2" s="143"/>
      <c r="B2" s="153"/>
      <c r="C2" s="153"/>
      <c r="D2" s="153"/>
      <c r="E2" s="154"/>
      <c r="F2" s="155"/>
      <c r="G2" s="156"/>
      <c r="H2" s="155"/>
      <c r="I2" s="154"/>
      <c r="J2" s="155"/>
      <c r="K2" s="156"/>
      <c r="L2" s="154"/>
      <c r="M2" s="153"/>
      <c r="N2" s="154"/>
      <c r="O2" s="155"/>
      <c r="P2" s="156"/>
      <c r="Q2" s="155"/>
      <c r="R2" s="154"/>
      <c r="S2" s="155"/>
      <c r="T2" s="156"/>
      <c r="U2" s="155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</row>
    <row r="3" spans="1:42" x14ac:dyDescent="0.25">
      <c r="A3" s="143"/>
      <c r="B3" s="153"/>
      <c r="C3" s="153"/>
      <c r="D3" s="153"/>
      <c r="E3" s="154"/>
      <c r="F3" s="155"/>
      <c r="G3" s="156"/>
      <c r="H3" s="157"/>
      <c r="I3" s="157"/>
      <c r="J3" s="157"/>
      <c r="K3" s="157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</row>
    <row r="4" spans="1:42" x14ac:dyDescent="0.25">
      <c r="A4" s="143"/>
      <c r="B4" s="153"/>
      <c r="C4" s="153"/>
      <c r="D4" s="153"/>
      <c r="E4" s="154"/>
      <c r="F4" s="155"/>
      <c r="G4" s="156"/>
      <c r="H4" s="158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</row>
    <row r="5" spans="1:42" ht="23.25" x14ac:dyDescent="0.25">
      <c r="A5" s="143"/>
      <c r="B5" s="68" t="s">
        <v>153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</row>
    <row r="6" spans="1:42" ht="15.75" thickBot="1" x14ac:dyDescent="0.3">
      <c r="A6" s="143"/>
      <c r="B6" s="67"/>
      <c r="C6" s="67"/>
      <c r="D6" s="67"/>
      <c r="E6" s="67"/>
      <c r="F6" s="67"/>
      <c r="G6" s="67"/>
      <c r="H6" s="67"/>
      <c r="I6" s="67"/>
      <c r="J6" s="67"/>
      <c r="K6" s="67"/>
      <c r="L6" s="70"/>
      <c r="M6" s="67"/>
      <c r="N6" s="67"/>
      <c r="O6" s="67"/>
      <c r="P6" s="67"/>
      <c r="Q6" s="67"/>
      <c r="R6" s="67"/>
      <c r="S6" s="67"/>
      <c r="T6" s="67"/>
      <c r="U6" s="71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</row>
    <row r="7" spans="1:42" ht="6" customHeight="1" thickTop="1" x14ac:dyDescent="0.25">
      <c r="A7" s="143"/>
      <c r="B7" s="152"/>
      <c r="C7" s="152"/>
      <c r="D7" s="152"/>
      <c r="E7" s="3"/>
      <c r="F7" s="4"/>
      <c r="G7" s="4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</row>
    <row r="8" spans="1:42" x14ac:dyDescent="0.25">
      <c r="A8" s="143"/>
      <c r="B8" s="150"/>
      <c r="C8" s="151" t="s">
        <v>59</v>
      </c>
      <c r="D8" s="191"/>
      <c r="E8" s="151">
        <v>1</v>
      </c>
      <c r="F8" s="151">
        <v>2</v>
      </c>
      <c r="G8" s="151">
        <v>3</v>
      </c>
      <c r="H8" s="151">
        <v>4</v>
      </c>
      <c r="I8" s="151">
        <v>5</v>
      </c>
      <c r="J8" s="151">
        <v>6</v>
      </c>
      <c r="K8" s="151">
        <v>7</v>
      </c>
      <c r="L8" s="151">
        <v>8</v>
      </c>
      <c r="M8" s="151">
        <v>9</v>
      </c>
      <c r="N8" s="151">
        <v>10</v>
      </c>
      <c r="O8" s="151">
        <v>11</v>
      </c>
      <c r="P8" s="151">
        <v>12</v>
      </c>
      <c r="Q8" s="151">
        <v>13</v>
      </c>
      <c r="R8" s="151">
        <v>14</v>
      </c>
      <c r="S8" s="151">
        <v>15</v>
      </c>
      <c r="T8" s="151">
        <v>16</v>
      </c>
      <c r="U8" s="151">
        <v>17</v>
      </c>
      <c r="V8" s="151">
        <v>18</v>
      </c>
      <c r="W8" s="151">
        <v>19</v>
      </c>
      <c r="X8" s="151">
        <v>20</v>
      </c>
      <c r="Y8" s="151">
        <v>21</v>
      </c>
      <c r="Z8" s="151">
        <v>22</v>
      </c>
      <c r="AA8" s="151">
        <v>23</v>
      </c>
      <c r="AB8" s="151">
        <v>24</v>
      </c>
      <c r="AC8" s="151">
        <v>25</v>
      </c>
      <c r="AD8" s="151">
        <v>26</v>
      </c>
      <c r="AE8" s="151">
        <v>27</v>
      </c>
      <c r="AF8" s="151">
        <v>28</v>
      </c>
      <c r="AG8" s="151">
        <v>29</v>
      </c>
      <c r="AH8" s="151">
        <v>30</v>
      </c>
      <c r="AI8" s="151">
        <v>31</v>
      </c>
      <c r="AJ8" s="151">
        <v>32</v>
      </c>
      <c r="AK8" s="151">
        <v>33</v>
      </c>
      <c r="AL8" s="151">
        <v>34</v>
      </c>
      <c r="AM8" s="151">
        <v>35</v>
      </c>
      <c r="AN8" s="143"/>
      <c r="AO8" s="143"/>
      <c r="AP8" s="143"/>
    </row>
    <row r="9" spans="1:42" s="143" customFormat="1" ht="12.75" x14ac:dyDescent="0.2">
      <c r="B9" s="143" t="s">
        <v>154</v>
      </c>
      <c r="C9" s="146">
        <f>SUM(E9:AM9)</f>
        <v>696373171.7976017</v>
      </c>
      <c r="E9" s="146">
        <f>-'DemFin Proj'!E56</f>
        <v>68558874.354304582</v>
      </c>
      <c r="F9" s="146">
        <f>-'DemFin Proj'!F56</f>
        <v>81730460.258104399</v>
      </c>
      <c r="G9" s="146">
        <f>-'DemFin Proj'!G56</f>
        <v>84150274.878506303</v>
      </c>
      <c r="H9" s="146">
        <f>-'DemFin Proj'!H56</f>
        <v>166121734.3404215</v>
      </c>
      <c r="I9" s="146">
        <f>-'DemFin Proj'!I56</f>
        <v>143765710.77304989</v>
      </c>
      <c r="J9" s="146">
        <f>-'DemFin Proj'!J56</f>
        <v>117741178.34386092</v>
      </c>
      <c r="K9" s="146">
        <f>-'DemFin Proj'!K56</f>
        <v>34304938.849354073</v>
      </c>
      <c r="L9" s="146">
        <f>-'DemFin Proj'!L56</f>
        <v>0</v>
      </c>
      <c r="M9" s="146">
        <f>-'DemFin Proj'!M56</f>
        <v>0</v>
      </c>
      <c r="N9" s="146">
        <f>-'DemFin Proj'!N56</f>
        <v>0</v>
      </c>
      <c r="O9" s="146">
        <f>-'DemFin Proj'!O56</f>
        <v>0</v>
      </c>
      <c r="P9" s="146">
        <f>-'DemFin Proj'!P56</f>
        <v>0</v>
      </c>
      <c r="Q9" s="146">
        <f>-'DemFin Proj'!Q56</f>
        <v>0</v>
      </c>
      <c r="R9" s="146">
        <f>-'DemFin Proj'!R56</f>
        <v>0</v>
      </c>
      <c r="S9" s="146">
        <f>-'DemFin Proj'!S56</f>
        <v>0</v>
      </c>
      <c r="T9" s="146">
        <f>-'DemFin Proj'!T56</f>
        <v>0</v>
      </c>
      <c r="U9" s="146">
        <f>-'DemFin Proj'!U56</f>
        <v>0</v>
      </c>
      <c r="V9" s="146">
        <f>-'DemFin Proj'!V56</f>
        <v>0</v>
      </c>
      <c r="W9" s="146">
        <f>-'DemFin Proj'!W56</f>
        <v>0</v>
      </c>
      <c r="X9" s="146">
        <f>-'DemFin Proj'!X56</f>
        <v>0</v>
      </c>
      <c r="Y9" s="146">
        <f>-'DemFin Proj'!Y56</f>
        <v>0</v>
      </c>
      <c r="Z9" s="146">
        <f>-'DemFin Proj'!Z56</f>
        <v>0</v>
      </c>
      <c r="AA9" s="146">
        <f>-'DemFin Proj'!AA56</f>
        <v>0</v>
      </c>
      <c r="AB9" s="146">
        <f>-'DemFin Proj'!AB56</f>
        <v>0</v>
      </c>
      <c r="AC9" s="146">
        <f>-'DemFin Proj'!AC56</f>
        <v>0</v>
      </c>
      <c r="AD9" s="146">
        <f>-'DemFin Proj'!AD56</f>
        <v>0</v>
      </c>
      <c r="AE9" s="146">
        <f>-'DemFin Proj'!AE56</f>
        <v>0</v>
      </c>
      <c r="AF9" s="146">
        <f>-'DemFin Proj'!AF56</f>
        <v>0</v>
      </c>
      <c r="AG9" s="146">
        <f>-'DemFin Proj'!AG56</f>
        <v>0</v>
      </c>
      <c r="AH9" s="146">
        <f>-'DemFin Proj'!AH56</f>
        <v>0</v>
      </c>
      <c r="AI9" s="146">
        <f>-'DemFin Proj'!AI56</f>
        <v>0</v>
      </c>
      <c r="AJ9" s="146">
        <f>-'DemFin Proj'!AJ56</f>
        <v>0</v>
      </c>
      <c r="AK9" s="146">
        <f>-'DemFin Proj'!AK56</f>
        <v>0</v>
      </c>
      <c r="AL9" s="146">
        <f>-'DemFin Proj'!AL56</f>
        <v>0</v>
      </c>
      <c r="AM9" s="146">
        <f>-'DemFin Proj'!AM56</f>
        <v>0</v>
      </c>
    </row>
    <row r="10" spans="1:42" s="143" customFormat="1" ht="12.75" x14ac:dyDescent="0.2"/>
    <row r="11" spans="1:42" s="143" customFormat="1" ht="12.75" x14ac:dyDescent="0.2">
      <c r="B11" s="143" t="s">
        <v>157</v>
      </c>
      <c r="C11" s="195">
        <f>'Premissas Adotadas'!K35</f>
        <v>0.3696702219287461</v>
      </c>
      <c r="E11" s="195">
        <f>C11</f>
        <v>0.3696702219287461</v>
      </c>
      <c r="F11" s="195">
        <f>E11</f>
        <v>0.3696702219287461</v>
      </c>
      <c r="G11" s="195">
        <f t="shared" ref="G11:K11" si="0">F11</f>
        <v>0.3696702219287461</v>
      </c>
      <c r="H11" s="195">
        <f t="shared" si="0"/>
        <v>0.3696702219287461</v>
      </c>
      <c r="I11" s="195">
        <f t="shared" si="0"/>
        <v>0.3696702219287461</v>
      </c>
      <c r="J11" s="195">
        <f t="shared" si="0"/>
        <v>0.3696702219287461</v>
      </c>
      <c r="K11" s="195">
        <f t="shared" si="0"/>
        <v>0.3696702219287461</v>
      </c>
    </row>
    <row r="12" spans="1:42" s="143" customFormat="1" ht="12.75" x14ac:dyDescent="0.2">
      <c r="B12" s="143" t="s">
        <v>94</v>
      </c>
      <c r="C12" s="201">
        <f>'Premissas Adotadas'!K40</f>
        <v>6.4346458804939832E-2</v>
      </c>
      <c r="D12" s="201"/>
      <c r="E12" s="201">
        <f>C12</f>
        <v>6.4346458804939832E-2</v>
      </c>
      <c r="F12" s="201">
        <f>E12</f>
        <v>6.4346458804939832E-2</v>
      </c>
      <c r="G12" s="201">
        <f t="shared" ref="G12:K12" si="1">F12</f>
        <v>6.4346458804939832E-2</v>
      </c>
      <c r="H12" s="201">
        <f t="shared" si="1"/>
        <v>6.4346458804939832E-2</v>
      </c>
      <c r="I12" s="201">
        <f t="shared" si="1"/>
        <v>6.4346458804939832E-2</v>
      </c>
      <c r="J12" s="201">
        <f t="shared" si="1"/>
        <v>6.4346458804939832E-2</v>
      </c>
      <c r="K12" s="201">
        <f t="shared" si="1"/>
        <v>6.4346458804939832E-2</v>
      </c>
    </row>
    <row r="13" spans="1:42" s="143" customFormat="1" ht="12.75" x14ac:dyDescent="0.2">
      <c r="B13" s="143" t="s">
        <v>162</v>
      </c>
      <c r="C13" s="202">
        <f>'Premissas Adotadas'!K37</f>
        <v>15</v>
      </c>
      <c r="E13" s="143">
        <f>C13</f>
        <v>15</v>
      </c>
      <c r="F13" s="143">
        <f>E13</f>
        <v>15</v>
      </c>
      <c r="G13" s="143">
        <f t="shared" ref="G13:K13" si="2">F13</f>
        <v>15</v>
      </c>
      <c r="H13" s="143">
        <f t="shared" si="2"/>
        <v>15</v>
      </c>
      <c r="I13" s="143">
        <f t="shared" si="2"/>
        <v>15</v>
      </c>
      <c r="J13" s="143">
        <f t="shared" si="2"/>
        <v>15</v>
      </c>
      <c r="K13" s="143">
        <f t="shared" si="2"/>
        <v>15</v>
      </c>
    </row>
    <row r="14" spans="1:42" s="143" customFormat="1" ht="12.75" x14ac:dyDescent="0.2">
      <c r="B14" s="143" t="s">
        <v>158</v>
      </c>
      <c r="C14" s="202">
        <f>'Premissas Adotadas'!K38</f>
        <v>3</v>
      </c>
      <c r="E14" s="143">
        <f>C14</f>
        <v>3</v>
      </c>
      <c r="F14" s="143">
        <f>E14</f>
        <v>3</v>
      </c>
      <c r="G14" s="143">
        <f t="shared" ref="G14:K14" si="3">F14</f>
        <v>3</v>
      </c>
      <c r="H14" s="143">
        <f t="shared" si="3"/>
        <v>3</v>
      </c>
      <c r="I14" s="143">
        <f t="shared" si="3"/>
        <v>3</v>
      </c>
      <c r="J14" s="143">
        <f t="shared" si="3"/>
        <v>3</v>
      </c>
      <c r="K14" s="143">
        <f t="shared" si="3"/>
        <v>3</v>
      </c>
    </row>
    <row r="15" spans="1:42" s="143" customFormat="1" ht="12.75" x14ac:dyDescent="0.2">
      <c r="B15" s="143" t="s">
        <v>163</v>
      </c>
      <c r="E15" s="143">
        <f>E14+E8</f>
        <v>4</v>
      </c>
      <c r="F15" s="143">
        <f t="shared" ref="F15:K15" si="4">F14+F8</f>
        <v>5</v>
      </c>
      <c r="G15" s="143">
        <f t="shared" si="4"/>
        <v>6</v>
      </c>
      <c r="H15" s="143">
        <f t="shared" si="4"/>
        <v>7</v>
      </c>
      <c r="I15" s="143">
        <f t="shared" si="4"/>
        <v>8</v>
      </c>
      <c r="J15" s="143">
        <f t="shared" si="4"/>
        <v>9</v>
      </c>
      <c r="K15" s="143">
        <f t="shared" si="4"/>
        <v>10</v>
      </c>
    </row>
    <row r="16" spans="1:42" s="143" customFormat="1" ht="12.75" x14ac:dyDescent="0.2">
      <c r="B16" s="143" t="s">
        <v>164</v>
      </c>
      <c r="E16" s="143">
        <f>E13+E8-1</f>
        <v>15</v>
      </c>
      <c r="F16" s="143">
        <f t="shared" ref="F16:K16" si="5">F13+F8-1</f>
        <v>16</v>
      </c>
      <c r="G16" s="143">
        <f t="shared" si="5"/>
        <v>17</v>
      </c>
      <c r="H16" s="143">
        <f t="shared" si="5"/>
        <v>18</v>
      </c>
      <c r="I16" s="143">
        <f t="shared" si="5"/>
        <v>19</v>
      </c>
      <c r="J16" s="143">
        <f t="shared" si="5"/>
        <v>20</v>
      </c>
      <c r="K16" s="143">
        <f t="shared" si="5"/>
        <v>21</v>
      </c>
    </row>
    <row r="17" spans="2:39" s="143" customFormat="1" ht="12.75" x14ac:dyDescent="0.2"/>
    <row r="18" spans="2:39" s="143" customFormat="1" ht="12.75" x14ac:dyDescent="0.2">
      <c r="B18" s="236" t="s">
        <v>171</v>
      </c>
    </row>
    <row r="19" spans="2:39" s="143" customFormat="1" ht="12.75" x14ac:dyDescent="0.2">
      <c r="B19" s="144" t="s">
        <v>160</v>
      </c>
      <c r="E19" s="145">
        <f>E26+E33+E40+E47+E54+E61+E68</f>
        <v>0</v>
      </c>
      <c r="F19" s="145">
        <f t="shared" ref="F19:AM19" si="6">F26+F33+F40+F47+F54+F61+F68</f>
        <v>25344174.297740795</v>
      </c>
      <c r="G19" s="145">
        <f t="shared" si="6"/>
        <v>55557491.679692812</v>
      </c>
      <c r="H19" s="145">
        <f t="shared" si="6"/>
        <v>86665342.46939522</v>
      </c>
      <c r="I19" s="145">
        <f t="shared" si="6"/>
        <v>145963586.3453953</v>
      </c>
      <c r="J19" s="145">
        <f t="shared" si="6"/>
        <v>194479697.57930484</v>
      </c>
      <c r="K19" s="145">
        <f t="shared" si="6"/>
        <v>230782993.23538238</v>
      </c>
      <c r="L19" s="145">
        <f t="shared" si="6"/>
        <v>231124874.18722457</v>
      </c>
      <c r="M19" s="145">
        <f t="shared" si="6"/>
        <v>214356415.5974392</v>
      </c>
      <c r="N19" s="145">
        <f t="shared" si="6"/>
        <v>193960839.71360993</v>
      </c>
      <c r="O19" s="145">
        <f t="shared" si="6"/>
        <v>172508470.96663961</v>
      </c>
      <c r="P19" s="145">
        <f t="shared" si="6"/>
        <v>151056102.21966925</v>
      </c>
      <c r="Q19" s="145">
        <f t="shared" si="6"/>
        <v>129603733.4726989</v>
      </c>
      <c r="R19" s="145">
        <f t="shared" si="6"/>
        <v>108151364.72572856</v>
      </c>
      <c r="S19" s="145">
        <f t="shared" si="6"/>
        <v>86698995.978758186</v>
      </c>
      <c r="T19" s="145">
        <f t="shared" si="6"/>
        <v>65246627.231787838</v>
      </c>
      <c r="U19" s="145">
        <f t="shared" si="6"/>
        <v>45906273.00962922</v>
      </c>
      <c r="V19" s="145">
        <f t="shared" si="6"/>
        <v>29083695.2359666</v>
      </c>
      <c r="W19" s="145">
        <f t="shared" si="6"/>
        <v>14853438.36144585</v>
      </c>
      <c r="X19" s="145">
        <f t="shared" si="6"/>
        <v>5740703.0203260807</v>
      </c>
      <c r="Y19" s="145">
        <f t="shared" si="6"/>
        <v>1056792.8631410871</v>
      </c>
      <c r="Z19" s="145">
        <f t="shared" si="6"/>
        <v>2.3283064365386963E-8</v>
      </c>
      <c r="AA19" s="145">
        <f t="shared" si="6"/>
        <v>2.3283064365386963E-8</v>
      </c>
      <c r="AB19" s="145">
        <f t="shared" si="6"/>
        <v>2.3283064365386963E-8</v>
      </c>
      <c r="AC19" s="145">
        <f t="shared" si="6"/>
        <v>2.3283064365386963E-8</v>
      </c>
      <c r="AD19" s="145">
        <f t="shared" si="6"/>
        <v>2.3283064365386963E-8</v>
      </c>
      <c r="AE19" s="145">
        <f t="shared" si="6"/>
        <v>2.3283064365386963E-8</v>
      </c>
      <c r="AF19" s="145">
        <f t="shared" si="6"/>
        <v>2.3283064365386963E-8</v>
      </c>
      <c r="AG19" s="145">
        <f t="shared" si="6"/>
        <v>2.3283064365386963E-8</v>
      </c>
      <c r="AH19" s="145">
        <f t="shared" si="6"/>
        <v>2.3283064365386963E-8</v>
      </c>
      <c r="AI19" s="145">
        <f t="shared" si="6"/>
        <v>2.3283064365386963E-8</v>
      </c>
      <c r="AJ19" s="145">
        <f t="shared" si="6"/>
        <v>2.3283064365386963E-8</v>
      </c>
      <c r="AK19" s="145">
        <f t="shared" si="6"/>
        <v>2.3283064365386963E-8</v>
      </c>
      <c r="AL19" s="145">
        <f t="shared" si="6"/>
        <v>2.3283064365386963E-8</v>
      </c>
      <c r="AM19" s="145">
        <f t="shared" si="6"/>
        <v>2.3283064365386963E-8</v>
      </c>
    </row>
    <row r="20" spans="2:39" s="143" customFormat="1" ht="12.75" x14ac:dyDescent="0.2">
      <c r="B20" s="144" t="s">
        <v>156</v>
      </c>
      <c r="E20" s="145">
        <f t="shared" ref="E20:AM20" si="7">E27+E34+E41+E48+E55+E62+E69</f>
        <v>25344174.297740795</v>
      </c>
      <c r="F20" s="145">
        <f t="shared" si="7"/>
        <v>30213317.381952018</v>
      </c>
      <c r="G20" s="145">
        <f t="shared" si="7"/>
        <v>31107850.789702412</v>
      </c>
      <c r="H20" s="145">
        <f t="shared" si="7"/>
        <v>61410258.400811814</v>
      </c>
      <c r="I20" s="145">
        <f t="shared" si="7"/>
        <v>53145902.207217276</v>
      </c>
      <c r="J20" s="145">
        <f t="shared" si="7"/>
        <v>43525407.528527141</v>
      </c>
      <c r="K20" s="145">
        <f t="shared" si="7"/>
        <v>12681514.357692784</v>
      </c>
      <c r="L20" s="145">
        <f t="shared" si="7"/>
        <v>0</v>
      </c>
      <c r="M20" s="145">
        <f t="shared" si="7"/>
        <v>0</v>
      </c>
      <c r="N20" s="145">
        <f t="shared" si="7"/>
        <v>0</v>
      </c>
      <c r="O20" s="145">
        <f t="shared" si="7"/>
        <v>0</v>
      </c>
      <c r="P20" s="145">
        <f t="shared" si="7"/>
        <v>0</v>
      </c>
      <c r="Q20" s="145">
        <f t="shared" si="7"/>
        <v>0</v>
      </c>
      <c r="R20" s="145">
        <f t="shared" si="7"/>
        <v>0</v>
      </c>
      <c r="S20" s="145">
        <f t="shared" si="7"/>
        <v>0</v>
      </c>
      <c r="T20" s="145">
        <f t="shared" si="7"/>
        <v>0</v>
      </c>
      <c r="U20" s="145">
        <f t="shared" si="7"/>
        <v>0</v>
      </c>
      <c r="V20" s="145">
        <f t="shared" si="7"/>
        <v>0</v>
      </c>
      <c r="W20" s="145">
        <f t="shared" si="7"/>
        <v>0</v>
      </c>
      <c r="X20" s="145">
        <f t="shared" si="7"/>
        <v>0</v>
      </c>
      <c r="Y20" s="145">
        <f t="shared" si="7"/>
        <v>0</v>
      </c>
      <c r="Z20" s="145">
        <f t="shared" si="7"/>
        <v>0</v>
      </c>
      <c r="AA20" s="145">
        <f t="shared" si="7"/>
        <v>0</v>
      </c>
      <c r="AB20" s="145">
        <f t="shared" si="7"/>
        <v>0</v>
      </c>
      <c r="AC20" s="145">
        <f t="shared" si="7"/>
        <v>0</v>
      </c>
      <c r="AD20" s="145">
        <f t="shared" si="7"/>
        <v>0</v>
      </c>
      <c r="AE20" s="145">
        <f t="shared" si="7"/>
        <v>0</v>
      </c>
      <c r="AF20" s="145">
        <f t="shared" si="7"/>
        <v>0</v>
      </c>
      <c r="AG20" s="145">
        <f t="shared" si="7"/>
        <v>0</v>
      </c>
      <c r="AH20" s="145">
        <f t="shared" si="7"/>
        <v>0</v>
      </c>
      <c r="AI20" s="145">
        <f t="shared" si="7"/>
        <v>0</v>
      </c>
      <c r="AJ20" s="145">
        <f t="shared" si="7"/>
        <v>0</v>
      </c>
      <c r="AK20" s="145">
        <f t="shared" si="7"/>
        <v>0</v>
      </c>
      <c r="AL20" s="145">
        <f t="shared" si="7"/>
        <v>0</v>
      </c>
      <c r="AM20" s="145">
        <f t="shared" si="7"/>
        <v>0</v>
      </c>
    </row>
    <row r="21" spans="2:39" s="143" customFormat="1" ht="12.75" x14ac:dyDescent="0.2">
      <c r="B21" s="144" t="s">
        <v>159</v>
      </c>
      <c r="E21" s="145">
        <f t="shared" ref="E21:AM21" si="8">E28+E35+E42+E49+E56+E63+E70</f>
        <v>1630807.8673947928</v>
      </c>
      <c r="F21" s="145">
        <f t="shared" si="8"/>
        <v>3574927.8496731408</v>
      </c>
      <c r="G21" s="145">
        <f t="shared" si="8"/>
        <v>5576607.8890229426</v>
      </c>
      <c r="H21" s="145">
        <f t="shared" si="8"/>
        <v>9528140.5514114909</v>
      </c>
      <c r="I21" s="145">
        <f t="shared" si="8"/>
        <v>12811990.502823325</v>
      </c>
      <c r="J21" s="145">
        <f t="shared" si="8"/>
        <v>15314785.691186486</v>
      </c>
      <c r="K21" s="145">
        <f t="shared" si="8"/>
        <v>15666078.908302773</v>
      </c>
      <c r="L21" s="145">
        <f t="shared" si="8"/>
        <v>14872067.195685148</v>
      </c>
      <c r="M21" s="145">
        <f t="shared" si="8"/>
        <v>13793076.265815187</v>
      </c>
      <c r="N21" s="145">
        <f t="shared" si="8"/>
        <v>12480693.182403339</v>
      </c>
      <c r="O21" s="145">
        <f t="shared" si="8"/>
        <v>11100309.220558034</v>
      </c>
      <c r="P21" s="145">
        <f t="shared" si="8"/>
        <v>9719925.2587127276</v>
      </c>
      <c r="Q21" s="145">
        <f t="shared" si="8"/>
        <v>8339541.2968674218</v>
      </c>
      <c r="R21" s="145">
        <f t="shared" si="8"/>
        <v>6959157.3350221151</v>
      </c>
      <c r="S21" s="145">
        <f t="shared" si="8"/>
        <v>5578773.3731768094</v>
      </c>
      <c r="T21" s="145">
        <f t="shared" si="8"/>
        <v>4198389.4113315018</v>
      </c>
      <c r="U21" s="145">
        <f t="shared" si="8"/>
        <v>2953906.1051024282</v>
      </c>
      <c r="V21" s="145">
        <f t="shared" si="8"/>
        <v>1871432.7973965497</v>
      </c>
      <c r="W21" s="145">
        <f t="shared" si="8"/>
        <v>955766.1596364883</v>
      </c>
      <c r="X21" s="145">
        <f t="shared" si="8"/>
        <v>369393.91040880582</v>
      </c>
      <c r="Y21" s="145">
        <f t="shared" si="8"/>
        <v>68000.878433462378</v>
      </c>
      <c r="Z21" s="145">
        <f t="shared" si="8"/>
        <v>1.4981827420401348E-9</v>
      </c>
      <c r="AA21" s="145">
        <f t="shared" si="8"/>
        <v>1.4981827420401348E-9</v>
      </c>
      <c r="AB21" s="145">
        <f t="shared" si="8"/>
        <v>1.4981827420401348E-9</v>
      </c>
      <c r="AC21" s="145">
        <f t="shared" si="8"/>
        <v>1.4981827420401348E-9</v>
      </c>
      <c r="AD21" s="145">
        <f t="shared" si="8"/>
        <v>1.4981827420401348E-9</v>
      </c>
      <c r="AE21" s="145">
        <f t="shared" si="8"/>
        <v>1.4981827420401348E-9</v>
      </c>
      <c r="AF21" s="145">
        <f t="shared" si="8"/>
        <v>1.4981827420401348E-9</v>
      </c>
      <c r="AG21" s="145">
        <f t="shared" si="8"/>
        <v>1.4981827420401348E-9</v>
      </c>
      <c r="AH21" s="145">
        <f t="shared" si="8"/>
        <v>1.4981827420401348E-9</v>
      </c>
      <c r="AI21" s="145">
        <f t="shared" si="8"/>
        <v>1.4981827420401348E-9</v>
      </c>
      <c r="AJ21" s="145">
        <f t="shared" si="8"/>
        <v>1.4981827420401348E-9</v>
      </c>
      <c r="AK21" s="145">
        <f t="shared" si="8"/>
        <v>1.4981827420401348E-9</v>
      </c>
      <c r="AL21" s="145">
        <f t="shared" si="8"/>
        <v>1.4981827420401348E-9</v>
      </c>
      <c r="AM21" s="145">
        <f t="shared" si="8"/>
        <v>1.4981827420401348E-9</v>
      </c>
    </row>
    <row r="22" spans="2:39" s="143" customFormat="1" ht="12.75" x14ac:dyDescent="0.2">
      <c r="B22" s="144" t="s">
        <v>161</v>
      </c>
      <c r="E22" s="145">
        <f t="shared" ref="E22:AM22" si="9">E29+E36+E43+E50+E57+E64+E71</f>
        <v>-1630807.8673947928</v>
      </c>
      <c r="F22" s="145">
        <f t="shared" si="9"/>
        <v>-3574927.8496731408</v>
      </c>
      <c r="G22" s="145">
        <f t="shared" si="9"/>
        <v>-5576607.8890229426</v>
      </c>
      <c r="H22" s="145">
        <f t="shared" si="9"/>
        <v>-9528140.5514114909</v>
      </c>
      <c r="I22" s="145">
        <f t="shared" si="9"/>
        <v>-12811990.502823325</v>
      </c>
      <c r="J22" s="145">
        <f t="shared" si="9"/>
        <v>-15314785.691186486</v>
      </c>
      <c r="K22" s="145">
        <f t="shared" si="9"/>
        <v>-15666078.908302773</v>
      </c>
      <c r="L22" s="145">
        <f t="shared" si="9"/>
        <v>-14872067.195685148</v>
      </c>
      <c r="M22" s="145">
        <f t="shared" si="9"/>
        <v>-13793076.265815187</v>
      </c>
      <c r="N22" s="145">
        <f t="shared" si="9"/>
        <v>-12480693.182403339</v>
      </c>
      <c r="O22" s="145">
        <f t="shared" si="9"/>
        <v>-11100309.220558034</v>
      </c>
      <c r="P22" s="145">
        <f t="shared" si="9"/>
        <v>-9719925.2587127276</v>
      </c>
      <c r="Q22" s="145">
        <f t="shared" si="9"/>
        <v>-8339541.2968674218</v>
      </c>
      <c r="R22" s="145">
        <f t="shared" si="9"/>
        <v>-6959157.3350221151</v>
      </c>
      <c r="S22" s="145">
        <f t="shared" si="9"/>
        <v>-5578773.3731768094</v>
      </c>
      <c r="T22" s="145">
        <f t="shared" si="9"/>
        <v>-4198389.4113315018</v>
      </c>
      <c r="U22" s="145">
        <f t="shared" si="9"/>
        <v>-2953906.1051024282</v>
      </c>
      <c r="V22" s="145">
        <f t="shared" si="9"/>
        <v>-1871432.7973965497</v>
      </c>
      <c r="W22" s="145">
        <f t="shared" si="9"/>
        <v>-955766.1596364883</v>
      </c>
      <c r="X22" s="145">
        <f t="shared" si="9"/>
        <v>-369393.91040880582</v>
      </c>
      <c r="Y22" s="145">
        <f t="shared" si="9"/>
        <v>-68000.878433462378</v>
      </c>
      <c r="Z22" s="145">
        <f t="shared" si="9"/>
        <v>-1.4981827420401348E-9</v>
      </c>
      <c r="AA22" s="145">
        <f t="shared" si="9"/>
        <v>-1.4981827420401348E-9</v>
      </c>
      <c r="AB22" s="145">
        <f t="shared" si="9"/>
        <v>-1.4981827420401348E-9</v>
      </c>
      <c r="AC22" s="145">
        <f t="shared" si="9"/>
        <v>-1.4981827420401348E-9</v>
      </c>
      <c r="AD22" s="145">
        <f t="shared" si="9"/>
        <v>-1.4981827420401348E-9</v>
      </c>
      <c r="AE22" s="145">
        <f t="shared" si="9"/>
        <v>-1.4981827420401348E-9</v>
      </c>
      <c r="AF22" s="145">
        <f t="shared" si="9"/>
        <v>-1.4981827420401348E-9</v>
      </c>
      <c r="AG22" s="145">
        <f t="shared" si="9"/>
        <v>-1.4981827420401348E-9</v>
      </c>
      <c r="AH22" s="145">
        <f t="shared" si="9"/>
        <v>-1.4981827420401348E-9</v>
      </c>
      <c r="AI22" s="145">
        <f t="shared" si="9"/>
        <v>-1.4981827420401348E-9</v>
      </c>
      <c r="AJ22" s="145">
        <f t="shared" si="9"/>
        <v>-1.4981827420401348E-9</v>
      </c>
      <c r="AK22" s="145">
        <f t="shared" si="9"/>
        <v>-1.4981827420401348E-9</v>
      </c>
      <c r="AL22" s="145">
        <f t="shared" si="9"/>
        <v>-1.4981827420401348E-9</v>
      </c>
      <c r="AM22" s="145">
        <f t="shared" si="9"/>
        <v>-1.4981827420401348E-9</v>
      </c>
    </row>
    <row r="23" spans="2:39" s="143" customFormat="1" ht="12.75" x14ac:dyDescent="0.2">
      <c r="B23" s="144" t="s">
        <v>95</v>
      </c>
      <c r="E23" s="145">
        <f t="shared" ref="E23:AM23" si="10">E30+E37+E44+E51+E58+E65+E72</f>
        <v>0</v>
      </c>
      <c r="F23" s="145">
        <f t="shared" si="10"/>
        <v>0</v>
      </c>
      <c r="G23" s="145">
        <f t="shared" si="10"/>
        <v>0</v>
      </c>
      <c r="H23" s="145">
        <f t="shared" si="10"/>
        <v>-2112014.524811733</v>
      </c>
      <c r="I23" s="145">
        <f t="shared" si="10"/>
        <v>-4629790.9733077344</v>
      </c>
      <c r="J23" s="145">
        <f t="shared" si="10"/>
        <v>-7222111.872449602</v>
      </c>
      <c r="K23" s="145">
        <f t="shared" si="10"/>
        <v>-12339633.405850586</v>
      </c>
      <c r="L23" s="145">
        <f t="shared" si="10"/>
        <v>-16768458.58978536</v>
      </c>
      <c r="M23" s="145">
        <f t="shared" si="10"/>
        <v>-20395575.883829288</v>
      </c>
      <c r="N23" s="145">
        <f t="shared" si="10"/>
        <v>-21452368.746970352</v>
      </c>
      <c r="O23" s="145">
        <f t="shared" si="10"/>
        <v>-21452368.746970352</v>
      </c>
      <c r="P23" s="145">
        <f t="shared" si="10"/>
        <v>-21452368.746970352</v>
      </c>
      <c r="Q23" s="145">
        <f t="shared" si="10"/>
        <v>-21452368.746970352</v>
      </c>
      <c r="R23" s="145">
        <f t="shared" si="10"/>
        <v>-21452368.746970352</v>
      </c>
      <c r="S23" s="145">
        <f t="shared" si="10"/>
        <v>-21452368.746970352</v>
      </c>
      <c r="T23" s="145">
        <f t="shared" si="10"/>
        <v>-19340354.222158618</v>
      </c>
      <c r="U23" s="145">
        <f t="shared" si="10"/>
        <v>-16822577.773662619</v>
      </c>
      <c r="V23" s="145">
        <f t="shared" si="10"/>
        <v>-14230256.874520751</v>
      </c>
      <c r="W23" s="145">
        <f t="shared" si="10"/>
        <v>-9112735.3411197662</v>
      </c>
      <c r="X23" s="145">
        <f t="shared" si="10"/>
        <v>-4683910.1571849938</v>
      </c>
      <c r="Y23" s="145">
        <f t="shared" si="10"/>
        <v>-1056792.8631410652</v>
      </c>
      <c r="Z23" s="145">
        <f t="shared" si="10"/>
        <v>0</v>
      </c>
      <c r="AA23" s="145">
        <f t="shared" si="10"/>
        <v>0</v>
      </c>
      <c r="AB23" s="145">
        <f t="shared" si="10"/>
        <v>0</v>
      </c>
      <c r="AC23" s="145">
        <f t="shared" si="10"/>
        <v>0</v>
      </c>
      <c r="AD23" s="145">
        <f t="shared" si="10"/>
        <v>0</v>
      </c>
      <c r="AE23" s="145">
        <f t="shared" si="10"/>
        <v>0</v>
      </c>
      <c r="AF23" s="145">
        <f t="shared" si="10"/>
        <v>0</v>
      </c>
      <c r="AG23" s="145">
        <f t="shared" si="10"/>
        <v>0</v>
      </c>
      <c r="AH23" s="145">
        <f t="shared" si="10"/>
        <v>0</v>
      </c>
      <c r="AI23" s="145">
        <f t="shared" si="10"/>
        <v>0</v>
      </c>
      <c r="AJ23" s="145">
        <f t="shared" si="10"/>
        <v>0</v>
      </c>
      <c r="AK23" s="145">
        <f t="shared" si="10"/>
        <v>0</v>
      </c>
      <c r="AL23" s="145">
        <f t="shared" si="10"/>
        <v>0</v>
      </c>
      <c r="AM23" s="145">
        <f t="shared" si="10"/>
        <v>0</v>
      </c>
    </row>
    <row r="24" spans="2:39" s="143" customFormat="1" ht="12.75" x14ac:dyDescent="0.2"/>
    <row r="25" spans="2:39" s="143" customFormat="1" ht="12.75" x14ac:dyDescent="0.2">
      <c r="B25" s="236" t="s">
        <v>155</v>
      </c>
    </row>
    <row r="26" spans="2:39" s="143" customFormat="1" ht="12.75" x14ac:dyDescent="0.2">
      <c r="B26" s="144" t="s">
        <v>160</v>
      </c>
      <c r="E26" s="145">
        <v>0</v>
      </c>
      <c r="F26" s="146">
        <f>SUM(E26:E30)</f>
        <v>25344174.297740795</v>
      </c>
      <c r="G26" s="146">
        <f t="shared" ref="G26:AM26" si="11">SUM(F26:F30)</f>
        <v>25344174.297740795</v>
      </c>
      <c r="H26" s="146">
        <f t="shared" si="11"/>
        <v>25344174.297740795</v>
      </c>
      <c r="I26" s="146">
        <f t="shared" si="11"/>
        <v>23232159.772929061</v>
      </c>
      <c r="J26" s="146">
        <f t="shared" si="11"/>
        <v>21120145.248117328</v>
      </c>
      <c r="K26" s="146">
        <f t="shared" si="11"/>
        <v>19008130.723305594</v>
      </c>
      <c r="L26" s="146">
        <f t="shared" si="11"/>
        <v>16896116.198493861</v>
      </c>
      <c r="M26" s="146">
        <f t="shared" si="11"/>
        <v>14784101.673682127</v>
      </c>
      <c r="N26" s="146">
        <f t="shared" si="11"/>
        <v>12672087.148870394</v>
      </c>
      <c r="O26" s="146">
        <f t="shared" si="11"/>
        <v>10560072.62405866</v>
      </c>
      <c r="P26" s="146">
        <f t="shared" si="11"/>
        <v>8448058.0992469266</v>
      </c>
      <c r="Q26" s="146">
        <f t="shared" si="11"/>
        <v>6336043.5744351931</v>
      </c>
      <c r="R26" s="146">
        <f t="shared" si="11"/>
        <v>4224029.0496234596</v>
      </c>
      <c r="S26" s="146">
        <f t="shared" si="11"/>
        <v>2112014.5248117265</v>
      </c>
      <c r="T26" s="146">
        <f t="shared" si="11"/>
        <v>-6.5192580223083496E-9</v>
      </c>
      <c r="U26" s="146">
        <f t="shared" si="11"/>
        <v>-6.5192580223083496E-9</v>
      </c>
      <c r="V26" s="146">
        <f t="shared" si="11"/>
        <v>-6.5192580223083496E-9</v>
      </c>
      <c r="W26" s="146">
        <f t="shared" si="11"/>
        <v>-6.5192580223083496E-9</v>
      </c>
      <c r="X26" s="146">
        <f t="shared" si="11"/>
        <v>-6.5192580223083496E-9</v>
      </c>
      <c r="Y26" s="146">
        <f t="shared" si="11"/>
        <v>-6.5192580223083496E-9</v>
      </c>
      <c r="Z26" s="146">
        <f t="shared" si="11"/>
        <v>-6.5192580223083496E-9</v>
      </c>
      <c r="AA26" s="146">
        <f t="shared" si="11"/>
        <v>-6.5192580223083496E-9</v>
      </c>
      <c r="AB26" s="146">
        <f t="shared" si="11"/>
        <v>-6.5192580223083496E-9</v>
      </c>
      <c r="AC26" s="146">
        <f t="shared" si="11"/>
        <v>-6.5192580223083496E-9</v>
      </c>
      <c r="AD26" s="146">
        <f t="shared" si="11"/>
        <v>-6.5192580223083496E-9</v>
      </c>
      <c r="AE26" s="146">
        <f t="shared" si="11"/>
        <v>-6.5192580223083496E-9</v>
      </c>
      <c r="AF26" s="146">
        <f t="shared" si="11"/>
        <v>-6.5192580223083496E-9</v>
      </c>
      <c r="AG26" s="146">
        <f t="shared" si="11"/>
        <v>-6.5192580223083496E-9</v>
      </c>
      <c r="AH26" s="146">
        <f t="shared" si="11"/>
        <v>-6.5192580223083496E-9</v>
      </c>
      <c r="AI26" s="146">
        <f t="shared" si="11"/>
        <v>-6.5192580223083496E-9</v>
      </c>
      <c r="AJ26" s="146">
        <f t="shared" si="11"/>
        <v>-6.5192580223083496E-9</v>
      </c>
      <c r="AK26" s="146">
        <f t="shared" si="11"/>
        <v>-6.5192580223083496E-9</v>
      </c>
      <c r="AL26" s="146">
        <f t="shared" si="11"/>
        <v>-6.5192580223083496E-9</v>
      </c>
      <c r="AM26" s="146">
        <f t="shared" si="11"/>
        <v>-6.5192580223083496E-9</v>
      </c>
    </row>
    <row r="27" spans="2:39" s="143" customFormat="1" ht="12.75" x14ac:dyDescent="0.2">
      <c r="B27" s="144" t="s">
        <v>156</v>
      </c>
      <c r="E27" s="146">
        <f>E$11*E$9</f>
        <v>25344174.297740795</v>
      </c>
    </row>
    <row r="28" spans="2:39" s="143" customFormat="1" ht="12.75" x14ac:dyDescent="0.2">
      <c r="B28" s="144" t="s">
        <v>159</v>
      </c>
      <c r="E28" s="146">
        <f>SUM(E26:E27)*$E$12</f>
        <v>1630807.8673947928</v>
      </c>
      <c r="F28" s="146">
        <f>SUM(F26:F27)*$E$12</f>
        <v>1630807.8673947928</v>
      </c>
      <c r="G28" s="146">
        <f>SUM(G26:G27)*$E$12</f>
        <v>1630807.8673947928</v>
      </c>
      <c r="H28" s="146">
        <f t="shared" ref="H28:AM28" si="12">SUM(H26:H27)*$E$12</f>
        <v>1630807.8673947928</v>
      </c>
      <c r="I28" s="146">
        <f t="shared" si="12"/>
        <v>1494907.2117785602</v>
      </c>
      <c r="J28" s="146">
        <f t="shared" si="12"/>
        <v>1359006.5561623273</v>
      </c>
      <c r="K28" s="146">
        <f t="shared" si="12"/>
        <v>1223105.9005460946</v>
      </c>
      <c r="L28" s="146">
        <f t="shared" si="12"/>
        <v>1087205.2449298617</v>
      </c>
      <c r="M28" s="146">
        <f t="shared" si="12"/>
        <v>951304.58931362897</v>
      </c>
      <c r="N28" s="146">
        <f t="shared" si="12"/>
        <v>815403.93369739619</v>
      </c>
      <c r="O28" s="146">
        <f t="shared" si="12"/>
        <v>679503.27808116341</v>
      </c>
      <c r="P28" s="146">
        <f t="shared" si="12"/>
        <v>543602.62246493064</v>
      </c>
      <c r="Q28" s="146">
        <f t="shared" si="12"/>
        <v>407701.96684869786</v>
      </c>
      <c r="R28" s="146">
        <f t="shared" si="12"/>
        <v>271801.31123246509</v>
      </c>
      <c r="S28" s="146">
        <f t="shared" si="12"/>
        <v>135900.65561623234</v>
      </c>
      <c r="T28" s="146">
        <f t="shared" si="12"/>
        <v>-4.1949116777123774E-10</v>
      </c>
      <c r="U28" s="146">
        <f t="shared" si="12"/>
        <v>-4.1949116777123774E-10</v>
      </c>
      <c r="V28" s="146">
        <f t="shared" si="12"/>
        <v>-4.1949116777123774E-10</v>
      </c>
      <c r="W28" s="146">
        <f t="shared" si="12"/>
        <v>-4.1949116777123774E-10</v>
      </c>
      <c r="X28" s="146">
        <f t="shared" si="12"/>
        <v>-4.1949116777123774E-10</v>
      </c>
      <c r="Y28" s="146">
        <f t="shared" si="12"/>
        <v>-4.1949116777123774E-10</v>
      </c>
      <c r="Z28" s="146">
        <f t="shared" si="12"/>
        <v>-4.1949116777123774E-10</v>
      </c>
      <c r="AA28" s="146">
        <f t="shared" si="12"/>
        <v>-4.1949116777123774E-10</v>
      </c>
      <c r="AB28" s="146">
        <f t="shared" si="12"/>
        <v>-4.1949116777123774E-10</v>
      </c>
      <c r="AC28" s="146">
        <f t="shared" si="12"/>
        <v>-4.1949116777123774E-10</v>
      </c>
      <c r="AD28" s="146">
        <f t="shared" si="12"/>
        <v>-4.1949116777123774E-10</v>
      </c>
      <c r="AE28" s="146">
        <f t="shared" si="12"/>
        <v>-4.1949116777123774E-10</v>
      </c>
      <c r="AF28" s="146">
        <f t="shared" si="12"/>
        <v>-4.1949116777123774E-10</v>
      </c>
      <c r="AG28" s="146">
        <f t="shared" si="12"/>
        <v>-4.1949116777123774E-10</v>
      </c>
      <c r="AH28" s="146">
        <f t="shared" si="12"/>
        <v>-4.1949116777123774E-10</v>
      </c>
      <c r="AI28" s="146">
        <f t="shared" si="12"/>
        <v>-4.1949116777123774E-10</v>
      </c>
      <c r="AJ28" s="146">
        <f t="shared" si="12"/>
        <v>-4.1949116777123774E-10</v>
      </c>
      <c r="AK28" s="146">
        <f t="shared" si="12"/>
        <v>-4.1949116777123774E-10</v>
      </c>
      <c r="AL28" s="146">
        <f t="shared" si="12"/>
        <v>-4.1949116777123774E-10</v>
      </c>
      <c r="AM28" s="146">
        <f t="shared" si="12"/>
        <v>-4.1949116777123774E-10</v>
      </c>
    </row>
    <row r="29" spans="2:39" s="143" customFormat="1" ht="12.75" x14ac:dyDescent="0.2">
      <c r="B29" s="144" t="s">
        <v>161</v>
      </c>
      <c r="E29" s="146">
        <f>-E28</f>
        <v>-1630807.8673947928</v>
      </c>
      <c r="F29" s="146">
        <f>-F28</f>
        <v>-1630807.8673947928</v>
      </c>
      <c r="G29" s="146">
        <f>-G28</f>
        <v>-1630807.8673947928</v>
      </c>
      <c r="H29" s="146">
        <f t="shared" ref="H29:AM29" si="13">-H28</f>
        <v>-1630807.8673947928</v>
      </c>
      <c r="I29" s="146">
        <f t="shared" si="13"/>
        <v>-1494907.2117785602</v>
      </c>
      <c r="J29" s="146">
        <f t="shared" si="13"/>
        <v>-1359006.5561623273</v>
      </c>
      <c r="K29" s="146">
        <f t="shared" si="13"/>
        <v>-1223105.9005460946</v>
      </c>
      <c r="L29" s="146">
        <f t="shared" si="13"/>
        <v>-1087205.2449298617</v>
      </c>
      <c r="M29" s="146">
        <f t="shared" si="13"/>
        <v>-951304.58931362897</v>
      </c>
      <c r="N29" s="146">
        <f t="shared" si="13"/>
        <v>-815403.93369739619</v>
      </c>
      <c r="O29" s="146">
        <f t="shared" si="13"/>
        <v>-679503.27808116341</v>
      </c>
      <c r="P29" s="146">
        <f t="shared" si="13"/>
        <v>-543602.62246493064</v>
      </c>
      <c r="Q29" s="146">
        <f t="shared" si="13"/>
        <v>-407701.96684869786</v>
      </c>
      <c r="R29" s="146">
        <f t="shared" si="13"/>
        <v>-271801.31123246509</v>
      </c>
      <c r="S29" s="146">
        <f t="shared" si="13"/>
        <v>-135900.65561623234</v>
      </c>
      <c r="T29" s="146">
        <f t="shared" si="13"/>
        <v>4.1949116777123774E-10</v>
      </c>
      <c r="U29" s="146">
        <f t="shared" si="13"/>
        <v>4.1949116777123774E-10</v>
      </c>
      <c r="V29" s="146">
        <f t="shared" si="13"/>
        <v>4.1949116777123774E-10</v>
      </c>
      <c r="W29" s="146">
        <f t="shared" si="13"/>
        <v>4.1949116777123774E-10</v>
      </c>
      <c r="X29" s="146">
        <f t="shared" si="13"/>
        <v>4.1949116777123774E-10</v>
      </c>
      <c r="Y29" s="146">
        <f t="shared" si="13"/>
        <v>4.1949116777123774E-10</v>
      </c>
      <c r="Z29" s="146">
        <f t="shared" si="13"/>
        <v>4.1949116777123774E-10</v>
      </c>
      <c r="AA29" s="146">
        <f t="shared" si="13"/>
        <v>4.1949116777123774E-10</v>
      </c>
      <c r="AB29" s="146">
        <f t="shared" si="13"/>
        <v>4.1949116777123774E-10</v>
      </c>
      <c r="AC29" s="146">
        <f t="shared" si="13"/>
        <v>4.1949116777123774E-10</v>
      </c>
      <c r="AD29" s="146">
        <f t="shared" si="13"/>
        <v>4.1949116777123774E-10</v>
      </c>
      <c r="AE29" s="146">
        <f t="shared" si="13"/>
        <v>4.1949116777123774E-10</v>
      </c>
      <c r="AF29" s="146">
        <f t="shared" si="13"/>
        <v>4.1949116777123774E-10</v>
      </c>
      <c r="AG29" s="146">
        <f t="shared" si="13"/>
        <v>4.1949116777123774E-10</v>
      </c>
      <c r="AH29" s="146">
        <f t="shared" si="13"/>
        <v>4.1949116777123774E-10</v>
      </c>
      <c r="AI29" s="146">
        <f t="shared" si="13"/>
        <v>4.1949116777123774E-10</v>
      </c>
      <c r="AJ29" s="146">
        <f t="shared" si="13"/>
        <v>4.1949116777123774E-10</v>
      </c>
      <c r="AK29" s="146">
        <f t="shared" si="13"/>
        <v>4.1949116777123774E-10</v>
      </c>
      <c r="AL29" s="146">
        <f t="shared" si="13"/>
        <v>4.1949116777123774E-10</v>
      </c>
      <c r="AM29" s="146">
        <f t="shared" si="13"/>
        <v>4.1949116777123774E-10</v>
      </c>
    </row>
    <row r="30" spans="2:39" s="143" customFormat="1" ht="12.75" x14ac:dyDescent="0.2">
      <c r="B30" s="144" t="s">
        <v>95</v>
      </c>
      <c r="E30" s="145">
        <f>IF(OR(E$8&lt;$E$15,E$8&gt;$E$16),0,-($E$9*$E$11)/($E$13-$E$14))</f>
        <v>0</v>
      </c>
      <c r="F30" s="145">
        <f t="shared" ref="F30:AM30" si="14">IF(OR(F$8&lt;$E$15,F$8&gt;$E$16),0,-($E$9*$E$11)/($E$13-$E$14))</f>
        <v>0</v>
      </c>
      <c r="G30" s="145">
        <f t="shared" si="14"/>
        <v>0</v>
      </c>
      <c r="H30" s="145">
        <f t="shared" si="14"/>
        <v>-2112014.524811733</v>
      </c>
      <c r="I30" s="145">
        <f t="shared" si="14"/>
        <v>-2112014.524811733</v>
      </c>
      <c r="J30" s="145">
        <f t="shared" si="14"/>
        <v>-2112014.524811733</v>
      </c>
      <c r="K30" s="145">
        <f t="shared" si="14"/>
        <v>-2112014.524811733</v>
      </c>
      <c r="L30" s="145">
        <f t="shared" si="14"/>
        <v>-2112014.524811733</v>
      </c>
      <c r="M30" s="145">
        <f t="shared" si="14"/>
        <v>-2112014.524811733</v>
      </c>
      <c r="N30" s="145">
        <f t="shared" si="14"/>
        <v>-2112014.524811733</v>
      </c>
      <c r="O30" s="145">
        <f t="shared" si="14"/>
        <v>-2112014.524811733</v>
      </c>
      <c r="P30" s="145">
        <f t="shared" si="14"/>
        <v>-2112014.524811733</v>
      </c>
      <c r="Q30" s="145">
        <f t="shared" si="14"/>
        <v>-2112014.524811733</v>
      </c>
      <c r="R30" s="145">
        <f t="shared" si="14"/>
        <v>-2112014.524811733</v>
      </c>
      <c r="S30" s="145">
        <f t="shared" si="14"/>
        <v>-2112014.524811733</v>
      </c>
      <c r="T30" s="145">
        <f t="shared" si="14"/>
        <v>0</v>
      </c>
      <c r="U30" s="145">
        <f t="shared" si="14"/>
        <v>0</v>
      </c>
      <c r="V30" s="145">
        <f t="shared" si="14"/>
        <v>0</v>
      </c>
      <c r="W30" s="145">
        <f t="shared" si="14"/>
        <v>0</v>
      </c>
      <c r="X30" s="145">
        <f t="shared" si="14"/>
        <v>0</v>
      </c>
      <c r="Y30" s="145">
        <f t="shared" si="14"/>
        <v>0</v>
      </c>
      <c r="Z30" s="145">
        <f t="shared" si="14"/>
        <v>0</v>
      </c>
      <c r="AA30" s="145">
        <f t="shared" si="14"/>
        <v>0</v>
      </c>
      <c r="AB30" s="145">
        <f t="shared" si="14"/>
        <v>0</v>
      </c>
      <c r="AC30" s="145">
        <f t="shared" si="14"/>
        <v>0</v>
      </c>
      <c r="AD30" s="145">
        <f t="shared" si="14"/>
        <v>0</v>
      </c>
      <c r="AE30" s="145">
        <f t="shared" si="14"/>
        <v>0</v>
      </c>
      <c r="AF30" s="145">
        <f t="shared" si="14"/>
        <v>0</v>
      </c>
      <c r="AG30" s="145">
        <f t="shared" si="14"/>
        <v>0</v>
      </c>
      <c r="AH30" s="145">
        <f t="shared" si="14"/>
        <v>0</v>
      </c>
      <c r="AI30" s="145">
        <f t="shared" si="14"/>
        <v>0</v>
      </c>
      <c r="AJ30" s="145">
        <f t="shared" si="14"/>
        <v>0</v>
      </c>
      <c r="AK30" s="145">
        <f t="shared" si="14"/>
        <v>0</v>
      </c>
      <c r="AL30" s="145">
        <f t="shared" si="14"/>
        <v>0</v>
      </c>
      <c r="AM30" s="145">
        <f t="shared" si="14"/>
        <v>0</v>
      </c>
    </row>
    <row r="31" spans="2:39" s="143" customFormat="1" ht="12.75" x14ac:dyDescent="0.2"/>
    <row r="32" spans="2:39" s="143" customFormat="1" ht="12.75" x14ac:dyDescent="0.2">
      <c r="B32" s="236" t="s">
        <v>165</v>
      </c>
    </row>
    <row r="33" spans="2:39" s="143" customFormat="1" ht="12.75" x14ac:dyDescent="0.2">
      <c r="B33" s="144" t="s">
        <v>160</v>
      </c>
      <c r="E33" s="145">
        <v>0</v>
      </c>
      <c r="F33" s="146">
        <f>SUM(E33:E37)</f>
        <v>0</v>
      </c>
      <c r="G33" s="146">
        <f t="shared" ref="G33:AM33" si="15">SUM(F33:F37)</f>
        <v>30213317.381952018</v>
      </c>
      <c r="H33" s="146">
        <f t="shared" si="15"/>
        <v>30213317.381952018</v>
      </c>
      <c r="I33" s="146">
        <f t="shared" si="15"/>
        <v>30213317.381952018</v>
      </c>
      <c r="J33" s="146">
        <f t="shared" si="15"/>
        <v>27695540.933456015</v>
      </c>
      <c r="K33" s="146">
        <f t="shared" si="15"/>
        <v>25177764.484960012</v>
      </c>
      <c r="L33" s="146">
        <f t="shared" si="15"/>
        <v>22659988.036464009</v>
      </c>
      <c r="M33" s="146">
        <f t="shared" si="15"/>
        <v>20142211.587968007</v>
      </c>
      <c r="N33" s="146">
        <f t="shared" si="15"/>
        <v>17624435.139472004</v>
      </c>
      <c r="O33" s="146">
        <f t="shared" si="15"/>
        <v>15106658.690976003</v>
      </c>
      <c r="P33" s="146">
        <f t="shared" si="15"/>
        <v>12588882.242480002</v>
      </c>
      <c r="Q33" s="146">
        <f t="shared" si="15"/>
        <v>10071105.793984002</v>
      </c>
      <c r="R33" s="146">
        <f t="shared" si="15"/>
        <v>7553329.3454880007</v>
      </c>
      <c r="S33" s="146">
        <f t="shared" si="15"/>
        <v>5035552.8969919998</v>
      </c>
      <c r="T33" s="146">
        <f t="shared" si="15"/>
        <v>2517776.4484959985</v>
      </c>
      <c r="U33" s="146">
        <f t="shared" si="15"/>
        <v>0</v>
      </c>
      <c r="V33" s="146">
        <f t="shared" si="15"/>
        <v>0</v>
      </c>
      <c r="W33" s="146">
        <f t="shared" si="15"/>
        <v>0</v>
      </c>
      <c r="X33" s="146">
        <f t="shared" si="15"/>
        <v>0</v>
      </c>
      <c r="Y33" s="146">
        <f t="shared" si="15"/>
        <v>0</v>
      </c>
      <c r="Z33" s="146">
        <f t="shared" si="15"/>
        <v>0</v>
      </c>
      <c r="AA33" s="146">
        <f t="shared" si="15"/>
        <v>0</v>
      </c>
      <c r="AB33" s="146">
        <f t="shared" si="15"/>
        <v>0</v>
      </c>
      <c r="AC33" s="146">
        <f t="shared" si="15"/>
        <v>0</v>
      </c>
      <c r="AD33" s="146">
        <f t="shared" si="15"/>
        <v>0</v>
      </c>
      <c r="AE33" s="146">
        <f t="shared" si="15"/>
        <v>0</v>
      </c>
      <c r="AF33" s="146">
        <f t="shared" si="15"/>
        <v>0</v>
      </c>
      <c r="AG33" s="146">
        <f t="shared" si="15"/>
        <v>0</v>
      </c>
      <c r="AH33" s="146">
        <f t="shared" si="15"/>
        <v>0</v>
      </c>
      <c r="AI33" s="146">
        <f t="shared" si="15"/>
        <v>0</v>
      </c>
      <c r="AJ33" s="146">
        <f t="shared" si="15"/>
        <v>0</v>
      </c>
      <c r="AK33" s="146">
        <f t="shared" si="15"/>
        <v>0</v>
      </c>
      <c r="AL33" s="146">
        <f t="shared" si="15"/>
        <v>0</v>
      </c>
      <c r="AM33" s="146">
        <f t="shared" si="15"/>
        <v>0</v>
      </c>
    </row>
    <row r="34" spans="2:39" s="143" customFormat="1" ht="12.75" x14ac:dyDescent="0.2">
      <c r="B34" s="144" t="s">
        <v>156</v>
      </c>
      <c r="E34" s="146">
        <v>0</v>
      </c>
      <c r="F34" s="146">
        <f>F$11*F$9</f>
        <v>30213317.381952018</v>
      </c>
    </row>
    <row r="35" spans="2:39" s="143" customFormat="1" ht="12.75" x14ac:dyDescent="0.2">
      <c r="B35" s="144" t="s">
        <v>159</v>
      </c>
      <c r="E35" s="146">
        <f t="shared" ref="E35" si="16">SUM(E33:E34)*$F$12</f>
        <v>0</v>
      </c>
      <c r="F35" s="146">
        <f>SUM(F33:F34)*$F$12</f>
        <v>1944119.9822783482</v>
      </c>
      <c r="G35" s="146">
        <f t="shared" ref="G35:AM35" si="17">SUM(G33:G34)*$F$12</f>
        <v>1944119.9822783482</v>
      </c>
      <c r="H35" s="146">
        <f t="shared" si="17"/>
        <v>1944119.9822783482</v>
      </c>
      <c r="I35" s="146">
        <f t="shared" si="17"/>
        <v>1944119.9822783482</v>
      </c>
      <c r="J35" s="146">
        <f t="shared" si="17"/>
        <v>1782109.9837551524</v>
      </c>
      <c r="K35" s="146">
        <f t="shared" si="17"/>
        <v>1620099.9852319565</v>
      </c>
      <c r="L35" s="146">
        <f t="shared" si="17"/>
        <v>1458089.9867087607</v>
      </c>
      <c r="M35" s="146">
        <f t="shared" si="17"/>
        <v>1296079.988185565</v>
      </c>
      <c r="N35" s="146">
        <f t="shared" si="17"/>
        <v>1134069.9896623692</v>
      </c>
      <c r="O35" s="146">
        <f t="shared" si="17"/>
        <v>972059.99113917362</v>
      </c>
      <c r="P35" s="146">
        <f t="shared" si="17"/>
        <v>810049.992615978</v>
      </c>
      <c r="Q35" s="146">
        <f t="shared" si="17"/>
        <v>648039.99409278238</v>
      </c>
      <c r="R35" s="146">
        <f t="shared" si="17"/>
        <v>486029.99556958675</v>
      </c>
      <c r="S35" s="146">
        <f t="shared" si="17"/>
        <v>324019.99704639113</v>
      </c>
      <c r="T35" s="146">
        <f t="shared" si="17"/>
        <v>162009.99852319548</v>
      </c>
      <c r="U35" s="146">
        <f t="shared" si="17"/>
        <v>0</v>
      </c>
      <c r="V35" s="146">
        <f t="shared" si="17"/>
        <v>0</v>
      </c>
      <c r="W35" s="146">
        <f t="shared" si="17"/>
        <v>0</v>
      </c>
      <c r="X35" s="146">
        <f t="shared" si="17"/>
        <v>0</v>
      </c>
      <c r="Y35" s="146">
        <f t="shared" si="17"/>
        <v>0</v>
      </c>
      <c r="Z35" s="146">
        <f t="shared" si="17"/>
        <v>0</v>
      </c>
      <c r="AA35" s="146">
        <f t="shared" si="17"/>
        <v>0</v>
      </c>
      <c r="AB35" s="146">
        <f t="shared" si="17"/>
        <v>0</v>
      </c>
      <c r="AC35" s="146">
        <f t="shared" si="17"/>
        <v>0</v>
      </c>
      <c r="AD35" s="146">
        <f t="shared" si="17"/>
        <v>0</v>
      </c>
      <c r="AE35" s="146">
        <f t="shared" si="17"/>
        <v>0</v>
      </c>
      <c r="AF35" s="146">
        <f t="shared" si="17"/>
        <v>0</v>
      </c>
      <c r="AG35" s="146">
        <f t="shared" si="17"/>
        <v>0</v>
      </c>
      <c r="AH35" s="146">
        <f t="shared" si="17"/>
        <v>0</v>
      </c>
      <c r="AI35" s="146">
        <f t="shared" si="17"/>
        <v>0</v>
      </c>
      <c r="AJ35" s="146">
        <f t="shared" si="17"/>
        <v>0</v>
      </c>
      <c r="AK35" s="146">
        <f t="shared" si="17"/>
        <v>0</v>
      </c>
      <c r="AL35" s="146">
        <f t="shared" si="17"/>
        <v>0</v>
      </c>
      <c r="AM35" s="146">
        <f t="shared" si="17"/>
        <v>0</v>
      </c>
    </row>
    <row r="36" spans="2:39" s="143" customFormat="1" ht="12.75" x14ac:dyDescent="0.2">
      <c r="B36" s="144" t="s">
        <v>161</v>
      </c>
      <c r="E36" s="146">
        <f>-E35</f>
        <v>0</v>
      </c>
      <c r="F36" s="146">
        <f>-F35</f>
        <v>-1944119.9822783482</v>
      </c>
      <c r="G36" s="146">
        <f>-G35</f>
        <v>-1944119.9822783482</v>
      </c>
      <c r="H36" s="146">
        <f t="shared" ref="H36" si="18">-H35</f>
        <v>-1944119.9822783482</v>
      </c>
      <c r="I36" s="146">
        <f t="shared" ref="I36" si="19">-I35</f>
        <v>-1944119.9822783482</v>
      </c>
      <c r="J36" s="146">
        <f t="shared" ref="J36" si="20">-J35</f>
        <v>-1782109.9837551524</v>
      </c>
      <c r="K36" s="146">
        <f t="shared" ref="K36" si="21">-K35</f>
        <v>-1620099.9852319565</v>
      </c>
      <c r="L36" s="146">
        <f t="shared" ref="L36" si="22">-L35</f>
        <v>-1458089.9867087607</v>
      </c>
      <c r="M36" s="146">
        <f t="shared" ref="M36" si="23">-M35</f>
        <v>-1296079.988185565</v>
      </c>
      <c r="N36" s="146">
        <f t="shared" ref="N36" si="24">-N35</f>
        <v>-1134069.9896623692</v>
      </c>
      <c r="O36" s="146">
        <f t="shared" ref="O36" si="25">-O35</f>
        <v>-972059.99113917362</v>
      </c>
      <c r="P36" s="146">
        <f t="shared" ref="P36" si="26">-P35</f>
        <v>-810049.992615978</v>
      </c>
      <c r="Q36" s="146">
        <f t="shared" ref="Q36" si="27">-Q35</f>
        <v>-648039.99409278238</v>
      </c>
      <c r="R36" s="146">
        <f t="shared" ref="R36" si="28">-R35</f>
        <v>-486029.99556958675</v>
      </c>
      <c r="S36" s="146">
        <f t="shared" ref="S36" si="29">-S35</f>
        <v>-324019.99704639113</v>
      </c>
      <c r="T36" s="146">
        <f t="shared" ref="T36" si="30">-T35</f>
        <v>-162009.99852319548</v>
      </c>
      <c r="U36" s="146">
        <f t="shared" ref="U36" si="31">-U35</f>
        <v>0</v>
      </c>
      <c r="V36" s="146">
        <f t="shared" ref="V36" si="32">-V35</f>
        <v>0</v>
      </c>
      <c r="W36" s="146">
        <f t="shared" ref="W36" si="33">-W35</f>
        <v>0</v>
      </c>
      <c r="X36" s="146">
        <f t="shared" ref="X36" si="34">-X35</f>
        <v>0</v>
      </c>
      <c r="Y36" s="146">
        <f t="shared" ref="Y36" si="35">-Y35</f>
        <v>0</v>
      </c>
      <c r="Z36" s="146">
        <f t="shared" ref="Z36" si="36">-Z35</f>
        <v>0</v>
      </c>
      <c r="AA36" s="146">
        <f t="shared" ref="AA36" si="37">-AA35</f>
        <v>0</v>
      </c>
      <c r="AB36" s="146">
        <f t="shared" ref="AB36" si="38">-AB35</f>
        <v>0</v>
      </c>
      <c r="AC36" s="146">
        <f t="shared" ref="AC36" si="39">-AC35</f>
        <v>0</v>
      </c>
      <c r="AD36" s="146">
        <f t="shared" ref="AD36" si="40">-AD35</f>
        <v>0</v>
      </c>
      <c r="AE36" s="146">
        <f t="shared" ref="AE36" si="41">-AE35</f>
        <v>0</v>
      </c>
      <c r="AF36" s="146">
        <f t="shared" ref="AF36" si="42">-AF35</f>
        <v>0</v>
      </c>
      <c r="AG36" s="146">
        <f t="shared" ref="AG36" si="43">-AG35</f>
        <v>0</v>
      </c>
      <c r="AH36" s="146">
        <f t="shared" ref="AH36" si="44">-AH35</f>
        <v>0</v>
      </c>
      <c r="AI36" s="146">
        <f t="shared" ref="AI36" si="45">-AI35</f>
        <v>0</v>
      </c>
      <c r="AJ36" s="146">
        <f t="shared" ref="AJ36" si="46">-AJ35</f>
        <v>0</v>
      </c>
      <c r="AK36" s="146">
        <f t="shared" ref="AK36" si="47">-AK35</f>
        <v>0</v>
      </c>
      <c r="AL36" s="146">
        <f t="shared" ref="AL36" si="48">-AL35</f>
        <v>0</v>
      </c>
      <c r="AM36" s="146">
        <f t="shared" ref="AM36" si="49">-AM35</f>
        <v>0</v>
      </c>
    </row>
    <row r="37" spans="2:39" s="143" customFormat="1" ht="12.75" x14ac:dyDescent="0.2">
      <c r="B37" s="144" t="s">
        <v>95</v>
      </c>
      <c r="E37" s="145">
        <f>IF(OR(E$8&lt;$F$15,E$8&gt;$F$16),0,-($F$9*$F$11)/($F$13-$F$14))</f>
        <v>0</v>
      </c>
      <c r="F37" s="145">
        <f t="shared" ref="F37:AM37" si="50">IF(OR(F$8&lt;$F$15,F$8&gt;$F$16),0,-($F$9*$F$11)/($F$13-$F$14))</f>
        <v>0</v>
      </c>
      <c r="G37" s="145">
        <f t="shared" si="50"/>
        <v>0</v>
      </c>
      <c r="H37" s="145">
        <f t="shared" si="50"/>
        <v>0</v>
      </c>
      <c r="I37" s="145">
        <f t="shared" si="50"/>
        <v>-2517776.4484960013</v>
      </c>
      <c r="J37" s="145">
        <f t="shared" si="50"/>
        <v>-2517776.4484960013</v>
      </c>
      <c r="K37" s="145">
        <f t="shared" si="50"/>
        <v>-2517776.4484960013</v>
      </c>
      <c r="L37" s="145">
        <f t="shared" si="50"/>
        <v>-2517776.4484960013</v>
      </c>
      <c r="M37" s="145">
        <f t="shared" si="50"/>
        <v>-2517776.4484960013</v>
      </c>
      <c r="N37" s="145">
        <f t="shared" si="50"/>
        <v>-2517776.4484960013</v>
      </c>
      <c r="O37" s="145">
        <f t="shared" si="50"/>
        <v>-2517776.4484960013</v>
      </c>
      <c r="P37" s="145">
        <f t="shared" si="50"/>
        <v>-2517776.4484960013</v>
      </c>
      <c r="Q37" s="145">
        <f t="shared" si="50"/>
        <v>-2517776.4484960013</v>
      </c>
      <c r="R37" s="145">
        <f t="shared" si="50"/>
        <v>-2517776.4484960013</v>
      </c>
      <c r="S37" s="145">
        <f t="shared" si="50"/>
        <v>-2517776.4484960013</v>
      </c>
      <c r="T37" s="145">
        <f t="shared" si="50"/>
        <v>-2517776.4484960013</v>
      </c>
      <c r="U37" s="145">
        <f t="shared" si="50"/>
        <v>0</v>
      </c>
      <c r="V37" s="145">
        <f t="shared" si="50"/>
        <v>0</v>
      </c>
      <c r="W37" s="145">
        <f t="shared" si="50"/>
        <v>0</v>
      </c>
      <c r="X37" s="145">
        <f t="shared" si="50"/>
        <v>0</v>
      </c>
      <c r="Y37" s="145">
        <f t="shared" si="50"/>
        <v>0</v>
      </c>
      <c r="Z37" s="145">
        <f t="shared" si="50"/>
        <v>0</v>
      </c>
      <c r="AA37" s="145">
        <f t="shared" si="50"/>
        <v>0</v>
      </c>
      <c r="AB37" s="145">
        <f t="shared" si="50"/>
        <v>0</v>
      </c>
      <c r="AC37" s="145">
        <f t="shared" si="50"/>
        <v>0</v>
      </c>
      <c r="AD37" s="145">
        <f t="shared" si="50"/>
        <v>0</v>
      </c>
      <c r="AE37" s="145">
        <f t="shared" si="50"/>
        <v>0</v>
      </c>
      <c r="AF37" s="145">
        <f t="shared" si="50"/>
        <v>0</v>
      </c>
      <c r="AG37" s="145">
        <f t="shared" si="50"/>
        <v>0</v>
      </c>
      <c r="AH37" s="145">
        <f t="shared" si="50"/>
        <v>0</v>
      </c>
      <c r="AI37" s="145">
        <f t="shared" si="50"/>
        <v>0</v>
      </c>
      <c r="AJ37" s="145">
        <f t="shared" si="50"/>
        <v>0</v>
      </c>
      <c r="AK37" s="145">
        <f t="shared" si="50"/>
        <v>0</v>
      </c>
      <c r="AL37" s="145">
        <f t="shared" si="50"/>
        <v>0</v>
      </c>
      <c r="AM37" s="145">
        <f t="shared" si="50"/>
        <v>0</v>
      </c>
    </row>
    <row r="38" spans="2:39" s="143" customFormat="1" ht="12.75" x14ac:dyDescent="0.2"/>
    <row r="39" spans="2:39" s="143" customFormat="1" ht="12.75" x14ac:dyDescent="0.2">
      <c r="B39" s="236" t="s">
        <v>166</v>
      </c>
    </row>
    <row r="40" spans="2:39" s="143" customFormat="1" ht="12.75" x14ac:dyDescent="0.2">
      <c r="B40" s="144" t="s">
        <v>160</v>
      </c>
      <c r="E40" s="145">
        <v>0</v>
      </c>
      <c r="F40" s="146">
        <f>SUM(E40:E44)</f>
        <v>0</v>
      </c>
      <c r="G40" s="146">
        <f t="shared" ref="G40:AM40" si="51">SUM(F40:F44)</f>
        <v>0</v>
      </c>
      <c r="H40" s="146">
        <f t="shared" si="51"/>
        <v>31107850.789702412</v>
      </c>
      <c r="I40" s="146">
        <f t="shared" si="51"/>
        <v>31107850.789702412</v>
      </c>
      <c r="J40" s="146">
        <f t="shared" si="51"/>
        <v>31107850.789702412</v>
      </c>
      <c r="K40" s="146">
        <f t="shared" si="51"/>
        <v>28515529.890560545</v>
      </c>
      <c r="L40" s="146">
        <f t="shared" si="51"/>
        <v>25923208.991418678</v>
      </c>
      <c r="M40" s="146">
        <f t="shared" si="51"/>
        <v>23330888.092276812</v>
      </c>
      <c r="N40" s="146">
        <f t="shared" si="51"/>
        <v>20738567.193134945</v>
      </c>
      <c r="O40" s="146">
        <f t="shared" si="51"/>
        <v>18146246.293993078</v>
      </c>
      <c r="P40" s="146">
        <f t="shared" si="51"/>
        <v>15553925.394851211</v>
      </c>
      <c r="Q40" s="146">
        <f t="shared" si="51"/>
        <v>12961604.495709345</v>
      </c>
      <c r="R40" s="146">
        <f t="shared" si="51"/>
        <v>10369283.596567478</v>
      </c>
      <c r="S40" s="146">
        <f t="shared" si="51"/>
        <v>7776962.6974256104</v>
      </c>
      <c r="T40" s="146">
        <f t="shared" si="51"/>
        <v>5184641.7982837427</v>
      </c>
      <c r="U40" s="146">
        <f t="shared" si="51"/>
        <v>2592320.8991418751</v>
      </c>
      <c r="V40" s="146">
        <f t="shared" si="51"/>
        <v>7.4505805969238281E-9</v>
      </c>
      <c r="W40" s="146">
        <f t="shared" si="51"/>
        <v>7.4505805969238281E-9</v>
      </c>
      <c r="X40" s="146">
        <f t="shared" si="51"/>
        <v>7.4505805969238281E-9</v>
      </c>
      <c r="Y40" s="146">
        <f t="shared" si="51"/>
        <v>7.4505805969238281E-9</v>
      </c>
      <c r="Z40" s="146">
        <f t="shared" si="51"/>
        <v>7.4505805969238281E-9</v>
      </c>
      <c r="AA40" s="146">
        <f t="shared" si="51"/>
        <v>7.4505805969238281E-9</v>
      </c>
      <c r="AB40" s="146">
        <f t="shared" si="51"/>
        <v>7.4505805969238281E-9</v>
      </c>
      <c r="AC40" s="146">
        <f t="shared" si="51"/>
        <v>7.4505805969238281E-9</v>
      </c>
      <c r="AD40" s="146">
        <f t="shared" si="51"/>
        <v>7.4505805969238281E-9</v>
      </c>
      <c r="AE40" s="146">
        <f t="shared" si="51"/>
        <v>7.4505805969238281E-9</v>
      </c>
      <c r="AF40" s="146">
        <f t="shared" si="51"/>
        <v>7.4505805969238281E-9</v>
      </c>
      <c r="AG40" s="146">
        <f t="shared" si="51"/>
        <v>7.4505805969238281E-9</v>
      </c>
      <c r="AH40" s="146">
        <f t="shared" si="51"/>
        <v>7.4505805969238281E-9</v>
      </c>
      <c r="AI40" s="146">
        <f t="shared" si="51"/>
        <v>7.4505805969238281E-9</v>
      </c>
      <c r="AJ40" s="146">
        <f t="shared" si="51"/>
        <v>7.4505805969238281E-9</v>
      </c>
      <c r="AK40" s="146">
        <f t="shared" si="51"/>
        <v>7.4505805969238281E-9</v>
      </c>
      <c r="AL40" s="146">
        <f t="shared" si="51"/>
        <v>7.4505805969238281E-9</v>
      </c>
      <c r="AM40" s="146">
        <f t="shared" si="51"/>
        <v>7.4505805969238281E-9</v>
      </c>
    </row>
    <row r="41" spans="2:39" s="143" customFormat="1" ht="12.75" x14ac:dyDescent="0.2">
      <c r="B41" s="144" t="s">
        <v>156</v>
      </c>
      <c r="E41" s="146">
        <v>0</v>
      </c>
      <c r="F41" s="146">
        <v>0</v>
      </c>
      <c r="G41" s="146">
        <f>G$11*G$9</f>
        <v>31107850.789702412</v>
      </c>
    </row>
    <row r="42" spans="2:39" s="143" customFormat="1" ht="12.75" x14ac:dyDescent="0.2">
      <c r="B42" s="144" t="s">
        <v>159</v>
      </c>
      <c r="E42" s="146">
        <f t="shared" ref="E42:F42" si="52">SUM(E40:E41)*$G$12</f>
        <v>0</v>
      </c>
      <c r="F42" s="146">
        <f t="shared" si="52"/>
        <v>0</v>
      </c>
      <c r="G42" s="146">
        <f>SUM(G40:G41)*$G$12</f>
        <v>2001680.0393498014</v>
      </c>
      <c r="H42" s="146">
        <f t="shared" ref="H42:AM42" si="53">SUM(H40:H41)*$G$12</f>
        <v>2001680.0393498014</v>
      </c>
      <c r="I42" s="146">
        <f t="shared" si="53"/>
        <v>2001680.0393498014</v>
      </c>
      <c r="J42" s="146">
        <f t="shared" si="53"/>
        <v>2001680.0393498014</v>
      </c>
      <c r="K42" s="146">
        <f t="shared" si="53"/>
        <v>1834873.3694039846</v>
      </c>
      <c r="L42" s="146">
        <f t="shared" si="53"/>
        <v>1668066.6994581679</v>
      </c>
      <c r="M42" s="146">
        <f t="shared" si="53"/>
        <v>1501260.0295123511</v>
      </c>
      <c r="N42" s="146">
        <f t="shared" si="53"/>
        <v>1334453.3595665344</v>
      </c>
      <c r="O42" s="146">
        <f t="shared" si="53"/>
        <v>1167646.6896207177</v>
      </c>
      <c r="P42" s="146">
        <f t="shared" si="53"/>
        <v>1000840.019674901</v>
      </c>
      <c r="Q42" s="146">
        <f t="shared" si="53"/>
        <v>834033.34972908429</v>
      </c>
      <c r="R42" s="146">
        <f t="shared" si="53"/>
        <v>667226.67978326755</v>
      </c>
      <c r="S42" s="146">
        <f t="shared" si="53"/>
        <v>500420.00983745081</v>
      </c>
      <c r="T42" s="146">
        <f t="shared" si="53"/>
        <v>333613.33989163401</v>
      </c>
      <c r="U42" s="146">
        <f t="shared" si="53"/>
        <v>166806.66994581727</v>
      </c>
      <c r="V42" s="146">
        <f t="shared" si="53"/>
        <v>4.7941847745284313E-10</v>
      </c>
      <c r="W42" s="146">
        <f t="shared" si="53"/>
        <v>4.7941847745284313E-10</v>
      </c>
      <c r="X42" s="146">
        <f t="shared" si="53"/>
        <v>4.7941847745284313E-10</v>
      </c>
      <c r="Y42" s="146">
        <f t="shared" si="53"/>
        <v>4.7941847745284313E-10</v>
      </c>
      <c r="Z42" s="146">
        <f t="shared" si="53"/>
        <v>4.7941847745284313E-10</v>
      </c>
      <c r="AA42" s="146">
        <f t="shared" si="53"/>
        <v>4.7941847745284313E-10</v>
      </c>
      <c r="AB42" s="146">
        <f t="shared" si="53"/>
        <v>4.7941847745284313E-10</v>
      </c>
      <c r="AC42" s="146">
        <f t="shared" si="53"/>
        <v>4.7941847745284313E-10</v>
      </c>
      <c r="AD42" s="146">
        <f t="shared" si="53"/>
        <v>4.7941847745284313E-10</v>
      </c>
      <c r="AE42" s="146">
        <f t="shared" si="53"/>
        <v>4.7941847745284313E-10</v>
      </c>
      <c r="AF42" s="146">
        <f t="shared" si="53"/>
        <v>4.7941847745284313E-10</v>
      </c>
      <c r="AG42" s="146">
        <f t="shared" si="53"/>
        <v>4.7941847745284313E-10</v>
      </c>
      <c r="AH42" s="146">
        <f t="shared" si="53"/>
        <v>4.7941847745284313E-10</v>
      </c>
      <c r="AI42" s="146">
        <f t="shared" si="53"/>
        <v>4.7941847745284313E-10</v>
      </c>
      <c r="AJ42" s="146">
        <f t="shared" si="53"/>
        <v>4.7941847745284313E-10</v>
      </c>
      <c r="AK42" s="146">
        <f t="shared" si="53"/>
        <v>4.7941847745284313E-10</v>
      </c>
      <c r="AL42" s="146">
        <f t="shared" si="53"/>
        <v>4.7941847745284313E-10</v>
      </c>
      <c r="AM42" s="146">
        <f t="shared" si="53"/>
        <v>4.7941847745284313E-10</v>
      </c>
    </row>
    <row r="43" spans="2:39" s="143" customFormat="1" ht="12.75" x14ac:dyDescent="0.2">
      <c r="B43" s="144" t="s">
        <v>161</v>
      </c>
      <c r="E43" s="146">
        <f>-E42</f>
        <v>0</v>
      </c>
      <c r="F43" s="146">
        <f>-F42</f>
        <v>0</v>
      </c>
      <c r="G43" s="146">
        <f>-G42</f>
        <v>-2001680.0393498014</v>
      </c>
      <c r="H43" s="146">
        <f t="shared" ref="H43" si="54">-H42</f>
        <v>-2001680.0393498014</v>
      </c>
      <c r="I43" s="146">
        <f t="shared" ref="I43" si="55">-I42</f>
        <v>-2001680.0393498014</v>
      </c>
      <c r="J43" s="146">
        <f t="shared" ref="J43" si="56">-J42</f>
        <v>-2001680.0393498014</v>
      </c>
      <c r="K43" s="146">
        <f t="shared" ref="K43" si="57">-K42</f>
        <v>-1834873.3694039846</v>
      </c>
      <c r="L43" s="146">
        <f t="shared" ref="L43" si="58">-L42</f>
        <v>-1668066.6994581679</v>
      </c>
      <c r="M43" s="146">
        <f t="shared" ref="M43" si="59">-M42</f>
        <v>-1501260.0295123511</v>
      </c>
      <c r="N43" s="146">
        <f t="shared" ref="N43" si="60">-N42</f>
        <v>-1334453.3595665344</v>
      </c>
      <c r="O43" s="146">
        <f t="shared" ref="O43" si="61">-O42</f>
        <v>-1167646.6896207177</v>
      </c>
      <c r="P43" s="146">
        <f t="shared" ref="P43" si="62">-P42</f>
        <v>-1000840.019674901</v>
      </c>
      <c r="Q43" s="146">
        <f t="shared" ref="Q43" si="63">-Q42</f>
        <v>-834033.34972908429</v>
      </c>
      <c r="R43" s="146">
        <f t="shared" ref="R43" si="64">-R42</f>
        <v>-667226.67978326755</v>
      </c>
      <c r="S43" s="146">
        <f t="shared" ref="S43" si="65">-S42</f>
        <v>-500420.00983745081</v>
      </c>
      <c r="T43" s="146">
        <f t="shared" ref="T43" si="66">-T42</f>
        <v>-333613.33989163401</v>
      </c>
      <c r="U43" s="146">
        <f t="shared" ref="U43" si="67">-U42</f>
        <v>-166806.66994581727</v>
      </c>
      <c r="V43" s="146">
        <f t="shared" ref="V43" si="68">-V42</f>
        <v>-4.7941847745284313E-10</v>
      </c>
      <c r="W43" s="146">
        <f t="shared" ref="W43" si="69">-W42</f>
        <v>-4.7941847745284313E-10</v>
      </c>
      <c r="X43" s="146">
        <f t="shared" ref="X43" si="70">-X42</f>
        <v>-4.7941847745284313E-10</v>
      </c>
      <c r="Y43" s="146">
        <f t="shared" ref="Y43" si="71">-Y42</f>
        <v>-4.7941847745284313E-10</v>
      </c>
      <c r="Z43" s="146">
        <f t="shared" ref="Z43" si="72">-Z42</f>
        <v>-4.7941847745284313E-10</v>
      </c>
      <c r="AA43" s="146">
        <f t="shared" ref="AA43" si="73">-AA42</f>
        <v>-4.7941847745284313E-10</v>
      </c>
      <c r="AB43" s="146">
        <f t="shared" ref="AB43" si="74">-AB42</f>
        <v>-4.7941847745284313E-10</v>
      </c>
      <c r="AC43" s="146">
        <f t="shared" ref="AC43" si="75">-AC42</f>
        <v>-4.7941847745284313E-10</v>
      </c>
      <c r="AD43" s="146">
        <f t="shared" ref="AD43" si="76">-AD42</f>
        <v>-4.7941847745284313E-10</v>
      </c>
      <c r="AE43" s="146">
        <f t="shared" ref="AE43" si="77">-AE42</f>
        <v>-4.7941847745284313E-10</v>
      </c>
      <c r="AF43" s="146">
        <f t="shared" ref="AF43" si="78">-AF42</f>
        <v>-4.7941847745284313E-10</v>
      </c>
      <c r="AG43" s="146">
        <f t="shared" ref="AG43" si="79">-AG42</f>
        <v>-4.7941847745284313E-10</v>
      </c>
      <c r="AH43" s="146">
        <f t="shared" ref="AH43" si="80">-AH42</f>
        <v>-4.7941847745284313E-10</v>
      </c>
      <c r="AI43" s="146">
        <f t="shared" ref="AI43" si="81">-AI42</f>
        <v>-4.7941847745284313E-10</v>
      </c>
      <c r="AJ43" s="146">
        <f t="shared" ref="AJ43" si="82">-AJ42</f>
        <v>-4.7941847745284313E-10</v>
      </c>
      <c r="AK43" s="146">
        <f t="shared" ref="AK43" si="83">-AK42</f>
        <v>-4.7941847745284313E-10</v>
      </c>
      <c r="AL43" s="146">
        <f t="shared" ref="AL43" si="84">-AL42</f>
        <v>-4.7941847745284313E-10</v>
      </c>
      <c r="AM43" s="146">
        <f t="shared" ref="AM43" si="85">-AM42</f>
        <v>-4.7941847745284313E-10</v>
      </c>
    </row>
    <row r="44" spans="2:39" s="143" customFormat="1" ht="12.75" x14ac:dyDescent="0.2">
      <c r="B44" s="144" t="s">
        <v>95</v>
      </c>
      <c r="E44" s="145">
        <f t="shared" ref="E44" si="86">IF(OR(E$8&lt;$G$15,E$8&gt;$G$16),0,-($G$9*$G$11)/($G$13-$G$14))</f>
        <v>0</v>
      </c>
      <c r="F44" s="145">
        <f>IF(OR(F$8&lt;$G$15,F$8&gt;$G$16),0,-($G$9*$G$11)/($G$13-$G$14))</f>
        <v>0</v>
      </c>
      <c r="G44" s="145">
        <f t="shared" ref="G44:AM44" si="87">IF(OR(G$8&lt;$G$15,G$8&gt;$G$16),0,-($G$9*$G$11)/($G$13-$G$14))</f>
        <v>0</v>
      </c>
      <c r="H44" s="145">
        <f t="shared" si="87"/>
        <v>0</v>
      </c>
      <c r="I44" s="145">
        <f t="shared" si="87"/>
        <v>0</v>
      </c>
      <c r="J44" s="145">
        <f t="shared" si="87"/>
        <v>-2592320.8991418676</v>
      </c>
      <c r="K44" s="145">
        <f t="shared" si="87"/>
        <v>-2592320.8991418676</v>
      </c>
      <c r="L44" s="145">
        <f t="shared" si="87"/>
        <v>-2592320.8991418676</v>
      </c>
      <c r="M44" s="145">
        <f t="shared" si="87"/>
        <v>-2592320.8991418676</v>
      </c>
      <c r="N44" s="145">
        <f t="shared" si="87"/>
        <v>-2592320.8991418676</v>
      </c>
      <c r="O44" s="145">
        <f t="shared" si="87"/>
        <v>-2592320.8991418676</v>
      </c>
      <c r="P44" s="145">
        <f t="shared" si="87"/>
        <v>-2592320.8991418676</v>
      </c>
      <c r="Q44" s="145">
        <f t="shared" si="87"/>
        <v>-2592320.8991418676</v>
      </c>
      <c r="R44" s="145">
        <f t="shared" si="87"/>
        <v>-2592320.8991418676</v>
      </c>
      <c r="S44" s="145">
        <f t="shared" si="87"/>
        <v>-2592320.8991418676</v>
      </c>
      <c r="T44" s="145">
        <f t="shared" si="87"/>
        <v>-2592320.8991418676</v>
      </c>
      <c r="U44" s="145">
        <f t="shared" si="87"/>
        <v>-2592320.8991418676</v>
      </c>
      <c r="V44" s="145">
        <f t="shared" si="87"/>
        <v>0</v>
      </c>
      <c r="W44" s="145">
        <f t="shared" si="87"/>
        <v>0</v>
      </c>
      <c r="X44" s="145">
        <f t="shared" si="87"/>
        <v>0</v>
      </c>
      <c r="Y44" s="145">
        <f t="shared" si="87"/>
        <v>0</v>
      </c>
      <c r="Z44" s="145">
        <f t="shared" si="87"/>
        <v>0</v>
      </c>
      <c r="AA44" s="145">
        <f t="shared" si="87"/>
        <v>0</v>
      </c>
      <c r="AB44" s="145">
        <f t="shared" si="87"/>
        <v>0</v>
      </c>
      <c r="AC44" s="145">
        <f t="shared" si="87"/>
        <v>0</v>
      </c>
      <c r="AD44" s="145">
        <f t="shared" si="87"/>
        <v>0</v>
      </c>
      <c r="AE44" s="145">
        <f t="shared" si="87"/>
        <v>0</v>
      </c>
      <c r="AF44" s="145">
        <f t="shared" si="87"/>
        <v>0</v>
      </c>
      <c r="AG44" s="145">
        <f t="shared" si="87"/>
        <v>0</v>
      </c>
      <c r="AH44" s="145">
        <f t="shared" si="87"/>
        <v>0</v>
      </c>
      <c r="AI44" s="145">
        <f t="shared" si="87"/>
        <v>0</v>
      </c>
      <c r="AJ44" s="145">
        <f t="shared" si="87"/>
        <v>0</v>
      </c>
      <c r="AK44" s="145">
        <f t="shared" si="87"/>
        <v>0</v>
      </c>
      <c r="AL44" s="145">
        <f t="shared" si="87"/>
        <v>0</v>
      </c>
      <c r="AM44" s="145">
        <f t="shared" si="87"/>
        <v>0</v>
      </c>
    </row>
    <row r="45" spans="2:39" s="143" customFormat="1" ht="12.75" x14ac:dyDescent="0.2"/>
    <row r="46" spans="2:39" s="143" customFormat="1" ht="12.75" x14ac:dyDescent="0.2">
      <c r="B46" s="236" t="s">
        <v>167</v>
      </c>
    </row>
    <row r="47" spans="2:39" s="143" customFormat="1" ht="12.75" x14ac:dyDescent="0.2">
      <c r="B47" s="144" t="s">
        <v>160</v>
      </c>
      <c r="E47" s="145">
        <v>0</v>
      </c>
      <c r="F47" s="146">
        <f>SUM(E47:E51)</f>
        <v>0</v>
      </c>
      <c r="G47" s="146">
        <f t="shared" ref="G47:AM47" si="88">SUM(F47:F51)</f>
        <v>0</v>
      </c>
      <c r="H47" s="146">
        <f t="shared" si="88"/>
        <v>0</v>
      </c>
      <c r="I47" s="146">
        <f t="shared" si="88"/>
        <v>61410258.400811814</v>
      </c>
      <c r="J47" s="146">
        <f t="shared" si="88"/>
        <v>61410258.400811814</v>
      </c>
      <c r="K47" s="146">
        <f t="shared" si="88"/>
        <v>61410258.400811814</v>
      </c>
      <c r="L47" s="146">
        <f t="shared" si="88"/>
        <v>56292736.867410831</v>
      </c>
      <c r="M47" s="146">
        <f t="shared" si="88"/>
        <v>51175215.334009849</v>
      </c>
      <c r="N47" s="146">
        <f t="shared" si="88"/>
        <v>46057693.800608866</v>
      </c>
      <c r="O47" s="146">
        <f t="shared" si="88"/>
        <v>40940172.267207891</v>
      </c>
      <c r="P47" s="146">
        <f t="shared" si="88"/>
        <v>35822650.733806908</v>
      </c>
      <c r="Q47" s="146">
        <f t="shared" si="88"/>
        <v>30705129.200405926</v>
      </c>
      <c r="R47" s="146">
        <f t="shared" si="88"/>
        <v>25587607.667004943</v>
      </c>
      <c r="S47" s="146">
        <f t="shared" si="88"/>
        <v>20470086.13360396</v>
      </c>
      <c r="T47" s="146">
        <f t="shared" si="88"/>
        <v>15352564.600202976</v>
      </c>
      <c r="U47" s="146">
        <f t="shared" si="88"/>
        <v>10235043.066801991</v>
      </c>
      <c r="V47" s="146">
        <f t="shared" si="88"/>
        <v>5117521.5334010068</v>
      </c>
      <c r="W47" s="146">
        <f t="shared" si="88"/>
        <v>2.2351741790771484E-8</v>
      </c>
      <c r="X47" s="146">
        <f t="shared" si="88"/>
        <v>2.2351741790771484E-8</v>
      </c>
      <c r="Y47" s="146">
        <f t="shared" si="88"/>
        <v>2.2351741790771484E-8</v>
      </c>
      <c r="Z47" s="146">
        <f t="shared" si="88"/>
        <v>2.2351741790771484E-8</v>
      </c>
      <c r="AA47" s="146">
        <f t="shared" si="88"/>
        <v>2.2351741790771484E-8</v>
      </c>
      <c r="AB47" s="146">
        <f t="shared" si="88"/>
        <v>2.2351741790771484E-8</v>
      </c>
      <c r="AC47" s="146">
        <f t="shared" si="88"/>
        <v>2.2351741790771484E-8</v>
      </c>
      <c r="AD47" s="146">
        <f t="shared" si="88"/>
        <v>2.2351741790771484E-8</v>
      </c>
      <c r="AE47" s="146">
        <f t="shared" si="88"/>
        <v>2.2351741790771484E-8</v>
      </c>
      <c r="AF47" s="146">
        <f t="shared" si="88"/>
        <v>2.2351741790771484E-8</v>
      </c>
      <c r="AG47" s="146">
        <f t="shared" si="88"/>
        <v>2.2351741790771484E-8</v>
      </c>
      <c r="AH47" s="146">
        <f t="shared" si="88"/>
        <v>2.2351741790771484E-8</v>
      </c>
      <c r="AI47" s="146">
        <f t="shared" si="88"/>
        <v>2.2351741790771484E-8</v>
      </c>
      <c r="AJ47" s="146">
        <f t="shared" si="88"/>
        <v>2.2351741790771484E-8</v>
      </c>
      <c r="AK47" s="146">
        <f t="shared" si="88"/>
        <v>2.2351741790771484E-8</v>
      </c>
      <c r="AL47" s="146">
        <f t="shared" si="88"/>
        <v>2.2351741790771484E-8</v>
      </c>
      <c r="AM47" s="146">
        <f t="shared" si="88"/>
        <v>2.2351741790771484E-8</v>
      </c>
    </row>
    <row r="48" spans="2:39" s="143" customFormat="1" ht="12.75" x14ac:dyDescent="0.2">
      <c r="B48" s="144" t="s">
        <v>156</v>
      </c>
      <c r="E48" s="146">
        <v>0</v>
      </c>
      <c r="F48" s="146">
        <v>0</v>
      </c>
      <c r="G48" s="146">
        <v>0</v>
      </c>
      <c r="H48" s="146">
        <f>H$11*H$9</f>
        <v>61410258.400811814</v>
      </c>
    </row>
    <row r="49" spans="2:39" s="143" customFormat="1" ht="12.75" x14ac:dyDescent="0.2">
      <c r="B49" s="144" t="s">
        <v>159</v>
      </c>
      <c r="E49" s="146">
        <f t="shared" ref="E49:G49" si="89">SUM(E47:E48)*$H$12</f>
        <v>0</v>
      </c>
      <c r="F49" s="146">
        <f t="shared" si="89"/>
        <v>0</v>
      </c>
      <c r="G49" s="146">
        <f t="shared" si="89"/>
        <v>0</v>
      </c>
      <c r="H49" s="146">
        <f>SUM(H47:H48)*$H$12</f>
        <v>3951532.6623885478</v>
      </c>
      <c r="I49" s="146">
        <f t="shared" ref="I49:AM49" si="90">SUM(I47:I48)*$H$12</f>
        <v>3951532.6623885478</v>
      </c>
      <c r="J49" s="146">
        <f t="shared" si="90"/>
        <v>3951532.6623885478</v>
      </c>
      <c r="K49" s="146">
        <f t="shared" si="90"/>
        <v>3951532.6623885478</v>
      </c>
      <c r="L49" s="146">
        <f t="shared" si="90"/>
        <v>3622238.2738561686</v>
      </c>
      <c r="M49" s="146">
        <f t="shared" si="90"/>
        <v>3292943.8853237899</v>
      </c>
      <c r="N49" s="146">
        <f t="shared" si="90"/>
        <v>2963649.4967914112</v>
      </c>
      <c r="O49" s="146">
        <f t="shared" si="90"/>
        <v>2634355.1082590329</v>
      </c>
      <c r="P49" s="146">
        <f t="shared" si="90"/>
        <v>2305060.7197266538</v>
      </c>
      <c r="Q49" s="146">
        <f t="shared" si="90"/>
        <v>1975766.3311942751</v>
      </c>
      <c r="R49" s="146">
        <f t="shared" si="90"/>
        <v>1646471.9426618961</v>
      </c>
      <c r="S49" s="146">
        <f t="shared" si="90"/>
        <v>1317177.5541295174</v>
      </c>
      <c r="T49" s="146">
        <f t="shared" si="90"/>
        <v>987883.16559713834</v>
      </c>
      <c r="U49" s="146">
        <f t="shared" si="90"/>
        <v>658588.7770647594</v>
      </c>
      <c r="V49" s="146">
        <f t="shared" si="90"/>
        <v>329294.3885323804</v>
      </c>
      <c r="W49" s="146">
        <f t="shared" si="90"/>
        <v>1.4382554323585294E-9</v>
      </c>
      <c r="X49" s="146">
        <f t="shared" si="90"/>
        <v>1.4382554323585294E-9</v>
      </c>
      <c r="Y49" s="146">
        <f t="shared" si="90"/>
        <v>1.4382554323585294E-9</v>
      </c>
      <c r="Z49" s="146">
        <f t="shared" si="90"/>
        <v>1.4382554323585294E-9</v>
      </c>
      <c r="AA49" s="146">
        <f t="shared" si="90"/>
        <v>1.4382554323585294E-9</v>
      </c>
      <c r="AB49" s="146">
        <f t="shared" si="90"/>
        <v>1.4382554323585294E-9</v>
      </c>
      <c r="AC49" s="146">
        <f t="shared" si="90"/>
        <v>1.4382554323585294E-9</v>
      </c>
      <c r="AD49" s="146">
        <f t="shared" si="90"/>
        <v>1.4382554323585294E-9</v>
      </c>
      <c r="AE49" s="146">
        <f t="shared" si="90"/>
        <v>1.4382554323585294E-9</v>
      </c>
      <c r="AF49" s="146">
        <f t="shared" si="90"/>
        <v>1.4382554323585294E-9</v>
      </c>
      <c r="AG49" s="146">
        <f t="shared" si="90"/>
        <v>1.4382554323585294E-9</v>
      </c>
      <c r="AH49" s="146">
        <f t="shared" si="90"/>
        <v>1.4382554323585294E-9</v>
      </c>
      <c r="AI49" s="146">
        <f t="shared" si="90"/>
        <v>1.4382554323585294E-9</v>
      </c>
      <c r="AJ49" s="146">
        <f t="shared" si="90"/>
        <v>1.4382554323585294E-9</v>
      </c>
      <c r="AK49" s="146">
        <f t="shared" si="90"/>
        <v>1.4382554323585294E-9</v>
      </c>
      <c r="AL49" s="146">
        <f t="shared" si="90"/>
        <v>1.4382554323585294E-9</v>
      </c>
      <c r="AM49" s="146">
        <f t="shared" si="90"/>
        <v>1.4382554323585294E-9</v>
      </c>
    </row>
    <row r="50" spans="2:39" s="143" customFormat="1" ht="12.75" x14ac:dyDescent="0.2">
      <c r="B50" s="144" t="s">
        <v>161</v>
      </c>
      <c r="E50" s="146">
        <f>-E49</f>
        <v>0</v>
      </c>
      <c r="F50" s="146">
        <f>-F49</f>
        <v>0</v>
      </c>
      <c r="G50" s="146">
        <f>-G49</f>
        <v>0</v>
      </c>
      <c r="H50" s="146">
        <f t="shared" ref="H50" si="91">-H49</f>
        <v>-3951532.6623885478</v>
      </c>
      <c r="I50" s="146">
        <f t="shared" ref="I50" si="92">-I49</f>
        <v>-3951532.6623885478</v>
      </c>
      <c r="J50" s="146">
        <f t="shared" ref="J50" si="93">-J49</f>
        <v>-3951532.6623885478</v>
      </c>
      <c r="K50" s="146">
        <f t="shared" ref="K50" si="94">-K49</f>
        <v>-3951532.6623885478</v>
      </c>
      <c r="L50" s="146">
        <f t="shared" ref="L50" si="95">-L49</f>
        <v>-3622238.2738561686</v>
      </c>
      <c r="M50" s="146">
        <f t="shared" ref="M50" si="96">-M49</f>
        <v>-3292943.8853237899</v>
      </c>
      <c r="N50" s="146">
        <f t="shared" ref="N50" si="97">-N49</f>
        <v>-2963649.4967914112</v>
      </c>
      <c r="O50" s="146">
        <f t="shared" ref="O50" si="98">-O49</f>
        <v>-2634355.1082590329</v>
      </c>
      <c r="P50" s="146">
        <f t="shared" ref="P50" si="99">-P49</f>
        <v>-2305060.7197266538</v>
      </c>
      <c r="Q50" s="146">
        <f t="shared" ref="Q50" si="100">-Q49</f>
        <v>-1975766.3311942751</v>
      </c>
      <c r="R50" s="146">
        <f t="shared" ref="R50" si="101">-R49</f>
        <v>-1646471.9426618961</v>
      </c>
      <c r="S50" s="146">
        <f t="shared" ref="S50" si="102">-S49</f>
        <v>-1317177.5541295174</v>
      </c>
      <c r="T50" s="146">
        <f t="shared" ref="T50" si="103">-T49</f>
        <v>-987883.16559713834</v>
      </c>
      <c r="U50" s="146">
        <f t="shared" ref="U50" si="104">-U49</f>
        <v>-658588.7770647594</v>
      </c>
      <c r="V50" s="146">
        <f t="shared" ref="V50" si="105">-V49</f>
        <v>-329294.3885323804</v>
      </c>
      <c r="W50" s="146">
        <f t="shared" ref="W50" si="106">-W49</f>
        <v>-1.4382554323585294E-9</v>
      </c>
      <c r="X50" s="146">
        <f t="shared" ref="X50" si="107">-X49</f>
        <v>-1.4382554323585294E-9</v>
      </c>
      <c r="Y50" s="146">
        <f t="shared" ref="Y50" si="108">-Y49</f>
        <v>-1.4382554323585294E-9</v>
      </c>
      <c r="Z50" s="146">
        <f t="shared" ref="Z50" si="109">-Z49</f>
        <v>-1.4382554323585294E-9</v>
      </c>
      <c r="AA50" s="146">
        <f t="shared" ref="AA50" si="110">-AA49</f>
        <v>-1.4382554323585294E-9</v>
      </c>
      <c r="AB50" s="146">
        <f t="shared" ref="AB50" si="111">-AB49</f>
        <v>-1.4382554323585294E-9</v>
      </c>
      <c r="AC50" s="146">
        <f t="shared" ref="AC50" si="112">-AC49</f>
        <v>-1.4382554323585294E-9</v>
      </c>
      <c r="AD50" s="146">
        <f t="shared" ref="AD50" si="113">-AD49</f>
        <v>-1.4382554323585294E-9</v>
      </c>
      <c r="AE50" s="146">
        <f t="shared" ref="AE50" si="114">-AE49</f>
        <v>-1.4382554323585294E-9</v>
      </c>
      <c r="AF50" s="146">
        <f t="shared" ref="AF50" si="115">-AF49</f>
        <v>-1.4382554323585294E-9</v>
      </c>
      <c r="AG50" s="146">
        <f t="shared" ref="AG50" si="116">-AG49</f>
        <v>-1.4382554323585294E-9</v>
      </c>
      <c r="AH50" s="146">
        <f t="shared" ref="AH50" si="117">-AH49</f>
        <v>-1.4382554323585294E-9</v>
      </c>
      <c r="AI50" s="146">
        <f t="shared" ref="AI50" si="118">-AI49</f>
        <v>-1.4382554323585294E-9</v>
      </c>
      <c r="AJ50" s="146">
        <f t="shared" ref="AJ50" si="119">-AJ49</f>
        <v>-1.4382554323585294E-9</v>
      </c>
      <c r="AK50" s="146">
        <f t="shared" ref="AK50" si="120">-AK49</f>
        <v>-1.4382554323585294E-9</v>
      </c>
      <c r="AL50" s="146">
        <f t="shared" ref="AL50" si="121">-AL49</f>
        <v>-1.4382554323585294E-9</v>
      </c>
      <c r="AM50" s="146">
        <f t="shared" ref="AM50" si="122">-AM49</f>
        <v>-1.4382554323585294E-9</v>
      </c>
    </row>
    <row r="51" spans="2:39" s="143" customFormat="1" ht="12.75" x14ac:dyDescent="0.2">
      <c r="B51" s="144" t="s">
        <v>95</v>
      </c>
      <c r="E51" s="145">
        <f t="shared" ref="E51:G51" si="123">IF(OR(E$8&lt;$H$15,E$8&gt;$H$16),0,-($H$9*$H$11)/($H$13-$H$14))</f>
        <v>0</v>
      </c>
      <c r="F51" s="145">
        <f t="shared" si="123"/>
        <v>0</v>
      </c>
      <c r="G51" s="145">
        <f t="shared" si="123"/>
        <v>0</v>
      </c>
      <c r="H51" s="145">
        <f>IF(OR(H$8&lt;$H$15,H$8&gt;$H$16),0,-($H$9*$H$11)/($H$13-$H$14))</f>
        <v>0</v>
      </c>
      <c r="I51" s="145">
        <f t="shared" ref="I51:AM51" si="124">IF(OR(I$8&lt;$H$15,I$8&gt;$H$16),0,-($H$9*$H$11)/($H$13-$H$14))</f>
        <v>0</v>
      </c>
      <c r="J51" s="145">
        <f t="shared" si="124"/>
        <v>0</v>
      </c>
      <c r="K51" s="145">
        <f t="shared" si="124"/>
        <v>-5117521.5334009845</v>
      </c>
      <c r="L51" s="145">
        <f t="shared" si="124"/>
        <v>-5117521.5334009845</v>
      </c>
      <c r="M51" s="145">
        <f t="shared" si="124"/>
        <v>-5117521.5334009845</v>
      </c>
      <c r="N51" s="145">
        <f t="shared" si="124"/>
        <v>-5117521.5334009845</v>
      </c>
      <c r="O51" s="145">
        <f t="shared" si="124"/>
        <v>-5117521.5334009845</v>
      </c>
      <c r="P51" s="145">
        <f t="shared" si="124"/>
        <v>-5117521.5334009845</v>
      </c>
      <c r="Q51" s="145">
        <f t="shared" si="124"/>
        <v>-5117521.5334009845</v>
      </c>
      <c r="R51" s="145">
        <f t="shared" si="124"/>
        <v>-5117521.5334009845</v>
      </c>
      <c r="S51" s="145">
        <f t="shared" si="124"/>
        <v>-5117521.5334009845</v>
      </c>
      <c r="T51" s="145">
        <f t="shared" si="124"/>
        <v>-5117521.5334009845</v>
      </c>
      <c r="U51" s="145">
        <f t="shared" si="124"/>
        <v>-5117521.5334009845</v>
      </c>
      <c r="V51" s="145">
        <f t="shared" si="124"/>
        <v>-5117521.5334009845</v>
      </c>
      <c r="W51" s="145">
        <f t="shared" si="124"/>
        <v>0</v>
      </c>
      <c r="X51" s="145">
        <f t="shared" si="124"/>
        <v>0</v>
      </c>
      <c r="Y51" s="145">
        <f t="shared" si="124"/>
        <v>0</v>
      </c>
      <c r="Z51" s="145">
        <f t="shared" si="124"/>
        <v>0</v>
      </c>
      <c r="AA51" s="145">
        <f t="shared" si="124"/>
        <v>0</v>
      </c>
      <c r="AB51" s="145">
        <f t="shared" si="124"/>
        <v>0</v>
      </c>
      <c r="AC51" s="145">
        <f t="shared" si="124"/>
        <v>0</v>
      </c>
      <c r="AD51" s="145">
        <f t="shared" si="124"/>
        <v>0</v>
      </c>
      <c r="AE51" s="145">
        <f t="shared" si="124"/>
        <v>0</v>
      </c>
      <c r="AF51" s="145">
        <f t="shared" si="124"/>
        <v>0</v>
      </c>
      <c r="AG51" s="145">
        <f t="shared" si="124"/>
        <v>0</v>
      </c>
      <c r="AH51" s="145">
        <f t="shared" si="124"/>
        <v>0</v>
      </c>
      <c r="AI51" s="145">
        <f t="shared" si="124"/>
        <v>0</v>
      </c>
      <c r="AJ51" s="145">
        <f t="shared" si="124"/>
        <v>0</v>
      </c>
      <c r="AK51" s="145">
        <f t="shared" si="124"/>
        <v>0</v>
      </c>
      <c r="AL51" s="145">
        <f t="shared" si="124"/>
        <v>0</v>
      </c>
      <c r="AM51" s="145">
        <f t="shared" si="124"/>
        <v>0</v>
      </c>
    </row>
    <row r="52" spans="2:39" s="143" customFormat="1" ht="12.75" x14ac:dyDescent="0.2"/>
    <row r="53" spans="2:39" s="143" customFormat="1" ht="12.75" x14ac:dyDescent="0.2">
      <c r="B53" s="236" t="s">
        <v>168</v>
      </c>
    </row>
    <row r="54" spans="2:39" s="143" customFormat="1" ht="12.75" x14ac:dyDescent="0.2">
      <c r="B54" s="144" t="s">
        <v>160</v>
      </c>
      <c r="E54" s="145">
        <v>0</v>
      </c>
      <c r="F54" s="146">
        <f>SUM(E54:E58)</f>
        <v>0</v>
      </c>
      <c r="G54" s="146">
        <f t="shared" ref="G54:AM54" si="125">SUM(F54:F58)</f>
        <v>0</v>
      </c>
      <c r="H54" s="146">
        <f t="shared" si="125"/>
        <v>0</v>
      </c>
      <c r="I54" s="146">
        <f t="shared" si="125"/>
        <v>0</v>
      </c>
      <c r="J54" s="146">
        <f t="shared" si="125"/>
        <v>53145902.207217276</v>
      </c>
      <c r="K54" s="146">
        <f t="shared" si="125"/>
        <v>53145902.207217276</v>
      </c>
      <c r="L54" s="146">
        <f t="shared" si="125"/>
        <v>53145902.207217276</v>
      </c>
      <c r="M54" s="146">
        <f t="shared" si="125"/>
        <v>48717077.023282506</v>
      </c>
      <c r="N54" s="146">
        <f t="shared" si="125"/>
        <v>44288251.839347735</v>
      </c>
      <c r="O54" s="146">
        <f t="shared" si="125"/>
        <v>39859426.655412965</v>
      </c>
      <c r="P54" s="146">
        <f t="shared" si="125"/>
        <v>35430601.471478194</v>
      </c>
      <c r="Q54" s="146">
        <f t="shared" si="125"/>
        <v>31001776.28754342</v>
      </c>
      <c r="R54" s="146">
        <f t="shared" si="125"/>
        <v>26572951.103608645</v>
      </c>
      <c r="S54" s="146">
        <f t="shared" si="125"/>
        <v>22144125.919673871</v>
      </c>
      <c r="T54" s="146">
        <f t="shared" si="125"/>
        <v>17715300.735739097</v>
      </c>
      <c r="U54" s="146">
        <f t="shared" si="125"/>
        <v>13286475.551804323</v>
      </c>
      <c r="V54" s="146">
        <f t="shared" si="125"/>
        <v>8857650.3678695485</v>
      </c>
      <c r="W54" s="146">
        <f t="shared" si="125"/>
        <v>4428825.1839347752</v>
      </c>
      <c r="X54" s="146">
        <f t="shared" si="125"/>
        <v>0</v>
      </c>
      <c r="Y54" s="146">
        <f t="shared" si="125"/>
        <v>0</v>
      </c>
      <c r="Z54" s="146">
        <f t="shared" si="125"/>
        <v>0</v>
      </c>
      <c r="AA54" s="146">
        <f t="shared" si="125"/>
        <v>0</v>
      </c>
      <c r="AB54" s="146">
        <f t="shared" si="125"/>
        <v>0</v>
      </c>
      <c r="AC54" s="146">
        <f t="shared" si="125"/>
        <v>0</v>
      </c>
      <c r="AD54" s="146">
        <f t="shared" si="125"/>
        <v>0</v>
      </c>
      <c r="AE54" s="146">
        <f t="shared" si="125"/>
        <v>0</v>
      </c>
      <c r="AF54" s="146">
        <f t="shared" si="125"/>
        <v>0</v>
      </c>
      <c r="AG54" s="146">
        <f t="shared" si="125"/>
        <v>0</v>
      </c>
      <c r="AH54" s="146">
        <f t="shared" si="125"/>
        <v>0</v>
      </c>
      <c r="AI54" s="146">
        <f t="shared" si="125"/>
        <v>0</v>
      </c>
      <c r="AJ54" s="146">
        <f t="shared" si="125"/>
        <v>0</v>
      </c>
      <c r="AK54" s="146">
        <f t="shared" si="125"/>
        <v>0</v>
      </c>
      <c r="AL54" s="146">
        <f t="shared" si="125"/>
        <v>0</v>
      </c>
      <c r="AM54" s="146">
        <f t="shared" si="125"/>
        <v>0</v>
      </c>
    </row>
    <row r="55" spans="2:39" s="143" customFormat="1" ht="12.75" x14ac:dyDescent="0.2">
      <c r="B55" s="144" t="s">
        <v>156</v>
      </c>
      <c r="E55" s="146">
        <v>0</v>
      </c>
      <c r="F55" s="146">
        <v>0</v>
      </c>
      <c r="G55" s="146">
        <v>0</v>
      </c>
      <c r="H55" s="146">
        <v>0</v>
      </c>
      <c r="I55" s="146">
        <f>I$11*I$9</f>
        <v>53145902.207217276</v>
      </c>
    </row>
    <row r="56" spans="2:39" s="143" customFormat="1" ht="12.75" x14ac:dyDescent="0.2">
      <c r="B56" s="144" t="s">
        <v>159</v>
      </c>
      <c r="E56" s="146">
        <f t="shared" ref="E56:H56" si="126">SUM(E54:E55)*$I$12</f>
        <v>0</v>
      </c>
      <c r="F56" s="146">
        <f t="shared" si="126"/>
        <v>0</v>
      </c>
      <c r="G56" s="146">
        <f t="shared" si="126"/>
        <v>0</v>
      </c>
      <c r="H56" s="146">
        <f t="shared" si="126"/>
        <v>0</v>
      </c>
      <c r="I56" s="146">
        <f>SUM(I54:I55)*$I$12</f>
        <v>3419750.6070280676</v>
      </c>
      <c r="J56" s="146">
        <f t="shared" ref="J56:AM56" si="127">SUM(J54:J55)*$I$12</f>
        <v>3419750.6070280676</v>
      </c>
      <c r="K56" s="146">
        <f t="shared" si="127"/>
        <v>3419750.6070280676</v>
      </c>
      <c r="L56" s="146">
        <f t="shared" si="127"/>
        <v>3419750.6070280676</v>
      </c>
      <c r="M56" s="146">
        <f t="shared" si="127"/>
        <v>3134771.3897757288</v>
      </c>
      <c r="N56" s="146">
        <f t="shared" si="127"/>
        <v>2849792.1725233896</v>
      </c>
      <c r="O56" s="146">
        <f t="shared" si="127"/>
        <v>2564812.9552710508</v>
      </c>
      <c r="P56" s="146">
        <f t="shared" si="127"/>
        <v>2279833.738018712</v>
      </c>
      <c r="Q56" s="146">
        <f t="shared" si="127"/>
        <v>1994854.5207663733</v>
      </c>
      <c r="R56" s="146">
        <f t="shared" si="127"/>
        <v>1709875.3035140343</v>
      </c>
      <c r="S56" s="146">
        <f t="shared" si="127"/>
        <v>1424896.086261695</v>
      </c>
      <c r="T56" s="146">
        <f t="shared" si="127"/>
        <v>1139916.869009356</v>
      </c>
      <c r="U56" s="146">
        <f t="shared" si="127"/>
        <v>854937.65175701713</v>
      </c>
      <c r="V56" s="146">
        <f t="shared" si="127"/>
        <v>569958.43450467801</v>
      </c>
      <c r="W56" s="146">
        <f t="shared" si="127"/>
        <v>284979.21725233906</v>
      </c>
      <c r="X56" s="146">
        <f t="shared" si="127"/>
        <v>0</v>
      </c>
      <c r="Y56" s="146">
        <f t="shared" si="127"/>
        <v>0</v>
      </c>
      <c r="Z56" s="146">
        <f t="shared" si="127"/>
        <v>0</v>
      </c>
      <c r="AA56" s="146">
        <f t="shared" si="127"/>
        <v>0</v>
      </c>
      <c r="AB56" s="146">
        <f t="shared" si="127"/>
        <v>0</v>
      </c>
      <c r="AC56" s="146">
        <f t="shared" si="127"/>
        <v>0</v>
      </c>
      <c r="AD56" s="146">
        <f t="shared" si="127"/>
        <v>0</v>
      </c>
      <c r="AE56" s="146">
        <f t="shared" si="127"/>
        <v>0</v>
      </c>
      <c r="AF56" s="146">
        <f t="shared" si="127"/>
        <v>0</v>
      </c>
      <c r="AG56" s="146">
        <f t="shared" si="127"/>
        <v>0</v>
      </c>
      <c r="AH56" s="146">
        <f t="shared" si="127"/>
        <v>0</v>
      </c>
      <c r="AI56" s="146">
        <f t="shared" si="127"/>
        <v>0</v>
      </c>
      <c r="AJ56" s="146">
        <f t="shared" si="127"/>
        <v>0</v>
      </c>
      <c r="AK56" s="146">
        <f t="shared" si="127"/>
        <v>0</v>
      </c>
      <c r="AL56" s="146">
        <f t="shared" si="127"/>
        <v>0</v>
      </c>
      <c r="AM56" s="146">
        <f t="shared" si="127"/>
        <v>0</v>
      </c>
    </row>
    <row r="57" spans="2:39" s="143" customFormat="1" ht="12.75" x14ac:dyDescent="0.2">
      <c r="B57" s="144" t="s">
        <v>161</v>
      </c>
      <c r="E57" s="146">
        <f>-E56</f>
        <v>0</v>
      </c>
      <c r="F57" s="146">
        <f>-F56</f>
        <v>0</v>
      </c>
      <c r="G57" s="146">
        <f>-G56</f>
        <v>0</v>
      </c>
      <c r="H57" s="146">
        <f t="shared" ref="H57" si="128">-H56</f>
        <v>0</v>
      </c>
      <c r="I57" s="146">
        <f t="shared" ref="I57" si="129">-I56</f>
        <v>-3419750.6070280676</v>
      </c>
      <c r="J57" s="146">
        <f t="shared" ref="J57" si="130">-J56</f>
        <v>-3419750.6070280676</v>
      </c>
      <c r="K57" s="146">
        <f t="shared" ref="K57" si="131">-K56</f>
        <v>-3419750.6070280676</v>
      </c>
      <c r="L57" s="146">
        <f t="shared" ref="L57" si="132">-L56</f>
        <v>-3419750.6070280676</v>
      </c>
      <c r="M57" s="146">
        <f t="shared" ref="M57" si="133">-M56</f>
        <v>-3134771.3897757288</v>
      </c>
      <c r="N57" s="146">
        <f t="shared" ref="N57" si="134">-N56</f>
        <v>-2849792.1725233896</v>
      </c>
      <c r="O57" s="146">
        <f t="shared" ref="O57" si="135">-O56</f>
        <v>-2564812.9552710508</v>
      </c>
      <c r="P57" s="146">
        <f t="shared" ref="P57" si="136">-P56</f>
        <v>-2279833.738018712</v>
      </c>
      <c r="Q57" s="146">
        <f t="shared" ref="Q57" si="137">-Q56</f>
        <v>-1994854.5207663733</v>
      </c>
      <c r="R57" s="146">
        <f t="shared" ref="R57" si="138">-R56</f>
        <v>-1709875.3035140343</v>
      </c>
      <c r="S57" s="146">
        <f t="shared" ref="S57" si="139">-S56</f>
        <v>-1424896.086261695</v>
      </c>
      <c r="T57" s="146">
        <f t="shared" ref="T57" si="140">-T56</f>
        <v>-1139916.869009356</v>
      </c>
      <c r="U57" s="146">
        <f t="shared" ref="U57" si="141">-U56</f>
        <v>-854937.65175701713</v>
      </c>
      <c r="V57" s="146">
        <f t="shared" ref="V57" si="142">-V56</f>
        <v>-569958.43450467801</v>
      </c>
      <c r="W57" s="146">
        <f t="shared" ref="W57" si="143">-W56</f>
        <v>-284979.21725233906</v>
      </c>
      <c r="X57" s="146">
        <f t="shared" ref="X57" si="144">-X56</f>
        <v>0</v>
      </c>
      <c r="Y57" s="146">
        <f t="shared" ref="Y57" si="145">-Y56</f>
        <v>0</v>
      </c>
      <c r="Z57" s="146">
        <f t="shared" ref="Z57" si="146">-Z56</f>
        <v>0</v>
      </c>
      <c r="AA57" s="146">
        <f t="shared" ref="AA57" si="147">-AA56</f>
        <v>0</v>
      </c>
      <c r="AB57" s="146">
        <f t="shared" ref="AB57" si="148">-AB56</f>
        <v>0</v>
      </c>
      <c r="AC57" s="146">
        <f t="shared" ref="AC57" si="149">-AC56</f>
        <v>0</v>
      </c>
      <c r="AD57" s="146">
        <f t="shared" ref="AD57" si="150">-AD56</f>
        <v>0</v>
      </c>
      <c r="AE57" s="146">
        <f t="shared" ref="AE57" si="151">-AE56</f>
        <v>0</v>
      </c>
      <c r="AF57" s="146">
        <f t="shared" ref="AF57" si="152">-AF56</f>
        <v>0</v>
      </c>
      <c r="AG57" s="146">
        <f t="shared" ref="AG57" si="153">-AG56</f>
        <v>0</v>
      </c>
      <c r="AH57" s="146">
        <f t="shared" ref="AH57" si="154">-AH56</f>
        <v>0</v>
      </c>
      <c r="AI57" s="146">
        <f t="shared" ref="AI57" si="155">-AI56</f>
        <v>0</v>
      </c>
      <c r="AJ57" s="146">
        <f t="shared" ref="AJ57" si="156">-AJ56</f>
        <v>0</v>
      </c>
      <c r="AK57" s="146">
        <f t="shared" ref="AK57" si="157">-AK56</f>
        <v>0</v>
      </c>
      <c r="AL57" s="146">
        <f t="shared" ref="AL57" si="158">-AL56</f>
        <v>0</v>
      </c>
      <c r="AM57" s="146">
        <f t="shared" ref="AM57" si="159">-AM56</f>
        <v>0</v>
      </c>
    </row>
    <row r="58" spans="2:39" s="143" customFormat="1" ht="12.75" x14ac:dyDescent="0.2">
      <c r="B58" s="144" t="s">
        <v>95</v>
      </c>
      <c r="E58" s="145">
        <f t="shared" ref="E58:H58" si="160">IF(OR(E$8&lt;$I$15,E$8&gt;$I$16),0,-($I$9*$I$11)/($I$13-$I$14))</f>
        <v>0</v>
      </c>
      <c r="F58" s="145">
        <f t="shared" si="160"/>
        <v>0</v>
      </c>
      <c r="G58" s="145">
        <f t="shared" si="160"/>
        <v>0</v>
      </c>
      <c r="H58" s="145">
        <f t="shared" si="160"/>
        <v>0</v>
      </c>
      <c r="I58" s="145">
        <f>IF(OR(I$8&lt;$I$15,I$8&gt;$I$16),0,-($I$9*$I$11)/($I$13-$I$14))</f>
        <v>0</v>
      </c>
      <c r="J58" s="145">
        <f t="shared" ref="J58:AM58" si="161">IF(OR(J$8&lt;$I$15,J$8&gt;$I$16),0,-($I$9*$I$11)/($I$13-$I$14))</f>
        <v>0</v>
      </c>
      <c r="K58" s="145">
        <f t="shared" si="161"/>
        <v>0</v>
      </c>
      <c r="L58" s="145">
        <f t="shared" si="161"/>
        <v>-4428825.1839347733</v>
      </c>
      <c r="M58" s="145">
        <f t="shared" si="161"/>
        <v>-4428825.1839347733</v>
      </c>
      <c r="N58" s="145">
        <f t="shared" si="161"/>
        <v>-4428825.1839347733</v>
      </c>
      <c r="O58" s="145">
        <f t="shared" si="161"/>
        <v>-4428825.1839347733</v>
      </c>
      <c r="P58" s="145">
        <f t="shared" si="161"/>
        <v>-4428825.1839347733</v>
      </c>
      <c r="Q58" s="145">
        <f t="shared" si="161"/>
        <v>-4428825.1839347733</v>
      </c>
      <c r="R58" s="145">
        <f t="shared" si="161"/>
        <v>-4428825.1839347733</v>
      </c>
      <c r="S58" s="145">
        <f t="shared" si="161"/>
        <v>-4428825.1839347733</v>
      </c>
      <c r="T58" s="145">
        <f t="shared" si="161"/>
        <v>-4428825.1839347733</v>
      </c>
      <c r="U58" s="145">
        <f t="shared" si="161"/>
        <v>-4428825.1839347733</v>
      </c>
      <c r="V58" s="145">
        <f t="shared" si="161"/>
        <v>-4428825.1839347733</v>
      </c>
      <c r="W58" s="145">
        <f t="shared" si="161"/>
        <v>-4428825.1839347733</v>
      </c>
      <c r="X58" s="145">
        <f t="shared" si="161"/>
        <v>0</v>
      </c>
      <c r="Y58" s="145">
        <f t="shared" si="161"/>
        <v>0</v>
      </c>
      <c r="Z58" s="145">
        <f t="shared" si="161"/>
        <v>0</v>
      </c>
      <c r="AA58" s="145">
        <f t="shared" si="161"/>
        <v>0</v>
      </c>
      <c r="AB58" s="145">
        <f t="shared" si="161"/>
        <v>0</v>
      </c>
      <c r="AC58" s="145">
        <f t="shared" si="161"/>
        <v>0</v>
      </c>
      <c r="AD58" s="145">
        <f t="shared" si="161"/>
        <v>0</v>
      </c>
      <c r="AE58" s="145">
        <f t="shared" si="161"/>
        <v>0</v>
      </c>
      <c r="AF58" s="145">
        <f t="shared" si="161"/>
        <v>0</v>
      </c>
      <c r="AG58" s="145">
        <f t="shared" si="161"/>
        <v>0</v>
      </c>
      <c r="AH58" s="145">
        <f t="shared" si="161"/>
        <v>0</v>
      </c>
      <c r="AI58" s="145">
        <f t="shared" si="161"/>
        <v>0</v>
      </c>
      <c r="AJ58" s="145">
        <f t="shared" si="161"/>
        <v>0</v>
      </c>
      <c r="AK58" s="145">
        <f t="shared" si="161"/>
        <v>0</v>
      </c>
      <c r="AL58" s="145">
        <f t="shared" si="161"/>
        <v>0</v>
      </c>
      <c r="AM58" s="145">
        <f t="shared" si="161"/>
        <v>0</v>
      </c>
    </row>
    <row r="59" spans="2:39" s="143" customFormat="1" ht="12.75" x14ac:dyDescent="0.2"/>
    <row r="60" spans="2:39" s="143" customFormat="1" ht="12.75" x14ac:dyDescent="0.2">
      <c r="B60" s="236" t="s">
        <v>169</v>
      </c>
    </row>
    <row r="61" spans="2:39" s="143" customFormat="1" ht="12.75" x14ac:dyDescent="0.2">
      <c r="B61" s="144" t="s">
        <v>160</v>
      </c>
      <c r="E61" s="145">
        <v>0</v>
      </c>
      <c r="F61" s="146">
        <f>SUM(E61:E65)</f>
        <v>0</v>
      </c>
      <c r="G61" s="146">
        <f t="shared" ref="G61:AM61" si="162">SUM(F61:F65)</f>
        <v>0</v>
      </c>
      <c r="H61" s="146">
        <f t="shared" si="162"/>
        <v>0</v>
      </c>
      <c r="I61" s="146">
        <f t="shared" si="162"/>
        <v>0</v>
      </c>
      <c r="J61" s="146">
        <f t="shared" si="162"/>
        <v>0</v>
      </c>
      <c r="K61" s="146">
        <f t="shared" si="162"/>
        <v>43525407.528527141</v>
      </c>
      <c r="L61" s="146">
        <f t="shared" si="162"/>
        <v>43525407.528527141</v>
      </c>
      <c r="M61" s="146">
        <f t="shared" si="162"/>
        <v>43525407.528527141</v>
      </c>
      <c r="N61" s="146">
        <f t="shared" si="162"/>
        <v>39898290.234483212</v>
      </c>
      <c r="O61" s="146">
        <f t="shared" si="162"/>
        <v>36271172.940439284</v>
      </c>
      <c r="P61" s="146">
        <f t="shared" si="162"/>
        <v>32644055.646395355</v>
      </c>
      <c r="Q61" s="146">
        <f t="shared" si="162"/>
        <v>29016938.352351431</v>
      </c>
      <c r="R61" s="146">
        <f t="shared" si="162"/>
        <v>25389821.058307502</v>
      </c>
      <c r="S61" s="146">
        <f t="shared" si="162"/>
        <v>21762703.764263574</v>
      </c>
      <c r="T61" s="146">
        <f t="shared" si="162"/>
        <v>18135586.470219642</v>
      </c>
      <c r="U61" s="146">
        <f t="shared" si="162"/>
        <v>14508469.176175714</v>
      </c>
      <c r="V61" s="146">
        <f t="shared" si="162"/>
        <v>10881351.882131785</v>
      </c>
      <c r="W61" s="146">
        <f t="shared" si="162"/>
        <v>7254234.5880878568</v>
      </c>
      <c r="X61" s="146">
        <f t="shared" si="162"/>
        <v>3627117.2940439284</v>
      </c>
      <c r="Y61" s="146">
        <f t="shared" si="162"/>
        <v>0</v>
      </c>
      <c r="Z61" s="146">
        <f t="shared" si="162"/>
        <v>0</v>
      </c>
      <c r="AA61" s="146">
        <f t="shared" si="162"/>
        <v>0</v>
      </c>
      <c r="AB61" s="146">
        <f t="shared" si="162"/>
        <v>0</v>
      </c>
      <c r="AC61" s="146">
        <f t="shared" si="162"/>
        <v>0</v>
      </c>
      <c r="AD61" s="146">
        <f t="shared" si="162"/>
        <v>0</v>
      </c>
      <c r="AE61" s="146">
        <f t="shared" si="162"/>
        <v>0</v>
      </c>
      <c r="AF61" s="146">
        <f t="shared" si="162"/>
        <v>0</v>
      </c>
      <c r="AG61" s="146">
        <f t="shared" si="162"/>
        <v>0</v>
      </c>
      <c r="AH61" s="146">
        <f t="shared" si="162"/>
        <v>0</v>
      </c>
      <c r="AI61" s="146">
        <f t="shared" si="162"/>
        <v>0</v>
      </c>
      <c r="AJ61" s="146">
        <f t="shared" si="162"/>
        <v>0</v>
      </c>
      <c r="AK61" s="146">
        <f t="shared" si="162"/>
        <v>0</v>
      </c>
      <c r="AL61" s="146">
        <f t="shared" si="162"/>
        <v>0</v>
      </c>
      <c r="AM61" s="146">
        <f t="shared" si="162"/>
        <v>0</v>
      </c>
    </row>
    <row r="62" spans="2:39" s="143" customFormat="1" ht="12.75" x14ac:dyDescent="0.2">
      <c r="B62" s="144" t="s">
        <v>156</v>
      </c>
      <c r="E62" s="146">
        <v>0</v>
      </c>
      <c r="F62" s="146">
        <v>0</v>
      </c>
      <c r="G62" s="146">
        <v>0</v>
      </c>
      <c r="H62" s="146">
        <v>0</v>
      </c>
      <c r="I62" s="146">
        <v>0</v>
      </c>
      <c r="J62" s="146">
        <f>J$11*J$9</f>
        <v>43525407.528527141</v>
      </c>
    </row>
    <row r="63" spans="2:39" s="143" customFormat="1" ht="12.75" x14ac:dyDescent="0.2">
      <c r="B63" s="144" t="s">
        <v>159</v>
      </c>
      <c r="E63" s="146">
        <f t="shared" ref="E63:I63" si="163">SUM(E61:E62)*$J$12</f>
        <v>0</v>
      </c>
      <c r="F63" s="146">
        <f t="shared" si="163"/>
        <v>0</v>
      </c>
      <c r="G63" s="146">
        <f t="shared" si="163"/>
        <v>0</v>
      </c>
      <c r="H63" s="146">
        <f t="shared" si="163"/>
        <v>0</v>
      </c>
      <c r="I63" s="146">
        <f t="shared" si="163"/>
        <v>0</v>
      </c>
      <c r="J63" s="146">
        <f>SUM(J61:J62)*$J$12</f>
        <v>2800705.8425025898</v>
      </c>
      <c r="K63" s="146">
        <f t="shared" ref="K63:AM63" si="164">SUM(K61:K62)*$J$12</f>
        <v>2800705.8425025898</v>
      </c>
      <c r="L63" s="146">
        <f t="shared" si="164"/>
        <v>2800705.8425025898</v>
      </c>
      <c r="M63" s="146">
        <f t="shared" si="164"/>
        <v>2800705.8425025898</v>
      </c>
      <c r="N63" s="146">
        <f t="shared" si="164"/>
        <v>2567313.6889607073</v>
      </c>
      <c r="O63" s="146">
        <f t="shared" si="164"/>
        <v>2333921.5354188248</v>
      </c>
      <c r="P63" s="146">
        <f t="shared" si="164"/>
        <v>2100529.3818769422</v>
      </c>
      <c r="Q63" s="146">
        <f t="shared" si="164"/>
        <v>1867137.2283350599</v>
      </c>
      <c r="R63" s="146">
        <f t="shared" si="164"/>
        <v>1633745.0747931777</v>
      </c>
      <c r="S63" s="146">
        <f t="shared" si="164"/>
        <v>1400352.9212512951</v>
      </c>
      <c r="T63" s="146">
        <f t="shared" si="164"/>
        <v>1166960.7677094124</v>
      </c>
      <c r="U63" s="146">
        <f t="shared" si="164"/>
        <v>933568.61416752986</v>
      </c>
      <c r="V63" s="146">
        <f t="shared" si="164"/>
        <v>700176.46062564745</v>
      </c>
      <c r="W63" s="146">
        <f t="shared" si="164"/>
        <v>466784.30708376493</v>
      </c>
      <c r="X63" s="146">
        <f t="shared" si="164"/>
        <v>233392.15354188246</v>
      </c>
      <c r="Y63" s="146">
        <f t="shared" si="164"/>
        <v>0</v>
      </c>
      <c r="Z63" s="146">
        <f t="shared" si="164"/>
        <v>0</v>
      </c>
      <c r="AA63" s="146">
        <f t="shared" si="164"/>
        <v>0</v>
      </c>
      <c r="AB63" s="146">
        <f t="shared" si="164"/>
        <v>0</v>
      </c>
      <c r="AC63" s="146">
        <f t="shared" si="164"/>
        <v>0</v>
      </c>
      <c r="AD63" s="146">
        <f t="shared" si="164"/>
        <v>0</v>
      </c>
      <c r="AE63" s="146">
        <f t="shared" si="164"/>
        <v>0</v>
      </c>
      <c r="AF63" s="146">
        <f t="shared" si="164"/>
        <v>0</v>
      </c>
      <c r="AG63" s="146">
        <f t="shared" si="164"/>
        <v>0</v>
      </c>
      <c r="AH63" s="146">
        <f t="shared" si="164"/>
        <v>0</v>
      </c>
      <c r="AI63" s="146">
        <f t="shared" si="164"/>
        <v>0</v>
      </c>
      <c r="AJ63" s="146">
        <f t="shared" si="164"/>
        <v>0</v>
      </c>
      <c r="AK63" s="146">
        <f t="shared" si="164"/>
        <v>0</v>
      </c>
      <c r="AL63" s="146">
        <f t="shared" si="164"/>
        <v>0</v>
      </c>
      <c r="AM63" s="146">
        <f t="shared" si="164"/>
        <v>0</v>
      </c>
    </row>
    <row r="64" spans="2:39" s="143" customFormat="1" ht="12.75" x14ac:dyDescent="0.2">
      <c r="B64" s="144" t="s">
        <v>161</v>
      </c>
      <c r="E64" s="146">
        <f>-E63</f>
        <v>0</v>
      </c>
      <c r="F64" s="146">
        <f>-F63</f>
        <v>0</v>
      </c>
      <c r="G64" s="146">
        <f>-G63</f>
        <v>0</v>
      </c>
      <c r="H64" s="146">
        <f t="shared" ref="H64" si="165">-H63</f>
        <v>0</v>
      </c>
      <c r="I64" s="146">
        <f t="shared" ref="I64" si="166">-I63</f>
        <v>0</v>
      </c>
      <c r="J64" s="146">
        <f t="shared" ref="J64" si="167">-J63</f>
        <v>-2800705.8425025898</v>
      </c>
      <c r="K64" s="146">
        <f t="shared" ref="K64" si="168">-K63</f>
        <v>-2800705.8425025898</v>
      </c>
      <c r="L64" s="146">
        <f t="shared" ref="L64" si="169">-L63</f>
        <v>-2800705.8425025898</v>
      </c>
      <c r="M64" s="146">
        <f t="shared" ref="M64" si="170">-M63</f>
        <v>-2800705.8425025898</v>
      </c>
      <c r="N64" s="146">
        <f t="shared" ref="N64" si="171">-N63</f>
        <v>-2567313.6889607073</v>
      </c>
      <c r="O64" s="146">
        <f t="shared" ref="O64" si="172">-O63</f>
        <v>-2333921.5354188248</v>
      </c>
      <c r="P64" s="146">
        <f t="shared" ref="P64" si="173">-P63</f>
        <v>-2100529.3818769422</v>
      </c>
      <c r="Q64" s="146">
        <f t="shared" ref="Q64" si="174">-Q63</f>
        <v>-1867137.2283350599</v>
      </c>
      <c r="R64" s="146">
        <f t="shared" ref="R64" si="175">-R63</f>
        <v>-1633745.0747931777</v>
      </c>
      <c r="S64" s="146">
        <f t="shared" ref="S64" si="176">-S63</f>
        <v>-1400352.9212512951</v>
      </c>
      <c r="T64" s="146">
        <f t="shared" ref="T64" si="177">-T63</f>
        <v>-1166960.7677094124</v>
      </c>
      <c r="U64" s="146">
        <f t="shared" ref="U64" si="178">-U63</f>
        <v>-933568.61416752986</v>
      </c>
      <c r="V64" s="146">
        <f t="shared" ref="V64" si="179">-V63</f>
        <v>-700176.46062564745</v>
      </c>
      <c r="W64" s="146">
        <f t="shared" ref="W64" si="180">-W63</f>
        <v>-466784.30708376493</v>
      </c>
      <c r="X64" s="146">
        <f t="shared" ref="X64" si="181">-X63</f>
        <v>-233392.15354188246</v>
      </c>
      <c r="Y64" s="146">
        <f t="shared" ref="Y64" si="182">-Y63</f>
        <v>0</v>
      </c>
      <c r="Z64" s="146">
        <f t="shared" ref="Z64" si="183">-Z63</f>
        <v>0</v>
      </c>
      <c r="AA64" s="146">
        <f t="shared" ref="AA64" si="184">-AA63</f>
        <v>0</v>
      </c>
      <c r="AB64" s="146">
        <f t="shared" ref="AB64" si="185">-AB63</f>
        <v>0</v>
      </c>
      <c r="AC64" s="146">
        <f t="shared" ref="AC64" si="186">-AC63</f>
        <v>0</v>
      </c>
      <c r="AD64" s="146">
        <f t="shared" ref="AD64" si="187">-AD63</f>
        <v>0</v>
      </c>
      <c r="AE64" s="146">
        <f t="shared" ref="AE64" si="188">-AE63</f>
        <v>0</v>
      </c>
      <c r="AF64" s="146">
        <f t="shared" ref="AF64" si="189">-AF63</f>
        <v>0</v>
      </c>
      <c r="AG64" s="146">
        <f t="shared" ref="AG64" si="190">-AG63</f>
        <v>0</v>
      </c>
      <c r="AH64" s="146">
        <f t="shared" ref="AH64" si="191">-AH63</f>
        <v>0</v>
      </c>
      <c r="AI64" s="146">
        <f t="shared" ref="AI64" si="192">-AI63</f>
        <v>0</v>
      </c>
      <c r="AJ64" s="146">
        <f t="shared" ref="AJ64" si="193">-AJ63</f>
        <v>0</v>
      </c>
      <c r="AK64" s="146">
        <f t="shared" ref="AK64" si="194">-AK63</f>
        <v>0</v>
      </c>
      <c r="AL64" s="146">
        <f t="shared" ref="AL64" si="195">-AL63</f>
        <v>0</v>
      </c>
      <c r="AM64" s="146">
        <f t="shared" ref="AM64" si="196">-AM63</f>
        <v>0</v>
      </c>
    </row>
    <row r="65" spans="2:39" s="143" customFormat="1" ht="12.75" x14ac:dyDescent="0.2">
      <c r="B65" s="144" t="s">
        <v>95</v>
      </c>
      <c r="E65" s="145">
        <f t="shared" ref="E65:I65" si="197">IF(OR(E$8&lt;$J$15,E$8&gt;$J$16),0,-($J$9*$J$11)/($J$13-$J$14))</f>
        <v>0</v>
      </c>
      <c r="F65" s="145">
        <f t="shared" si="197"/>
        <v>0</v>
      </c>
      <c r="G65" s="145">
        <f t="shared" si="197"/>
        <v>0</v>
      </c>
      <c r="H65" s="145">
        <f t="shared" si="197"/>
        <v>0</v>
      </c>
      <c r="I65" s="145">
        <f t="shared" si="197"/>
        <v>0</v>
      </c>
      <c r="J65" s="145">
        <f>IF(OR(J$8&lt;$J$15,J$8&gt;$J$16),0,-($J$9*$J$11)/($J$13-$J$14))</f>
        <v>0</v>
      </c>
      <c r="K65" s="145">
        <f t="shared" ref="K65:AM65" si="198">IF(OR(K$8&lt;$J$15,K$8&gt;$J$16),0,-($J$9*$J$11)/($J$13-$J$14))</f>
        <v>0</v>
      </c>
      <c r="L65" s="145">
        <f t="shared" si="198"/>
        <v>0</v>
      </c>
      <c r="M65" s="145">
        <f t="shared" si="198"/>
        <v>-3627117.2940439284</v>
      </c>
      <c r="N65" s="145">
        <f t="shared" si="198"/>
        <v>-3627117.2940439284</v>
      </c>
      <c r="O65" s="145">
        <f t="shared" si="198"/>
        <v>-3627117.2940439284</v>
      </c>
      <c r="P65" s="145">
        <f t="shared" si="198"/>
        <v>-3627117.2940439284</v>
      </c>
      <c r="Q65" s="145">
        <f t="shared" si="198"/>
        <v>-3627117.2940439284</v>
      </c>
      <c r="R65" s="145">
        <f t="shared" si="198"/>
        <v>-3627117.2940439284</v>
      </c>
      <c r="S65" s="145">
        <f t="shared" si="198"/>
        <v>-3627117.2940439284</v>
      </c>
      <c r="T65" s="145">
        <f t="shared" si="198"/>
        <v>-3627117.2940439284</v>
      </c>
      <c r="U65" s="145">
        <f t="shared" si="198"/>
        <v>-3627117.2940439284</v>
      </c>
      <c r="V65" s="145">
        <f t="shared" si="198"/>
        <v>-3627117.2940439284</v>
      </c>
      <c r="W65" s="145">
        <f t="shared" si="198"/>
        <v>-3627117.2940439284</v>
      </c>
      <c r="X65" s="145">
        <f t="shared" si="198"/>
        <v>-3627117.2940439284</v>
      </c>
      <c r="Y65" s="145">
        <f t="shared" si="198"/>
        <v>0</v>
      </c>
      <c r="Z65" s="145">
        <f t="shared" si="198"/>
        <v>0</v>
      </c>
      <c r="AA65" s="145">
        <f t="shared" si="198"/>
        <v>0</v>
      </c>
      <c r="AB65" s="145">
        <f t="shared" si="198"/>
        <v>0</v>
      </c>
      <c r="AC65" s="145">
        <f t="shared" si="198"/>
        <v>0</v>
      </c>
      <c r="AD65" s="145">
        <f t="shared" si="198"/>
        <v>0</v>
      </c>
      <c r="AE65" s="145">
        <f t="shared" si="198"/>
        <v>0</v>
      </c>
      <c r="AF65" s="145">
        <f t="shared" si="198"/>
        <v>0</v>
      </c>
      <c r="AG65" s="145">
        <f t="shared" si="198"/>
        <v>0</v>
      </c>
      <c r="AH65" s="145">
        <f t="shared" si="198"/>
        <v>0</v>
      </c>
      <c r="AI65" s="145">
        <f t="shared" si="198"/>
        <v>0</v>
      </c>
      <c r="AJ65" s="145">
        <f t="shared" si="198"/>
        <v>0</v>
      </c>
      <c r="AK65" s="145">
        <f t="shared" si="198"/>
        <v>0</v>
      </c>
      <c r="AL65" s="145">
        <f t="shared" si="198"/>
        <v>0</v>
      </c>
      <c r="AM65" s="145">
        <f t="shared" si="198"/>
        <v>0</v>
      </c>
    </row>
    <row r="66" spans="2:39" s="143" customFormat="1" ht="12.75" x14ac:dyDescent="0.2"/>
    <row r="67" spans="2:39" s="143" customFormat="1" ht="12.75" x14ac:dyDescent="0.2">
      <c r="B67" s="236" t="s">
        <v>170</v>
      </c>
    </row>
    <row r="68" spans="2:39" s="143" customFormat="1" ht="12.75" x14ac:dyDescent="0.2">
      <c r="B68" s="144" t="s">
        <v>160</v>
      </c>
      <c r="E68" s="145">
        <v>0</v>
      </c>
      <c r="F68" s="146">
        <f>SUM(E68:E72)</f>
        <v>0</v>
      </c>
      <c r="G68" s="146">
        <f t="shared" ref="G68:AM68" si="199">SUM(F68:F72)</f>
        <v>0</v>
      </c>
      <c r="H68" s="146">
        <f t="shared" si="199"/>
        <v>0</v>
      </c>
      <c r="I68" s="146">
        <f t="shared" si="199"/>
        <v>0</v>
      </c>
      <c r="J68" s="146">
        <f t="shared" si="199"/>
        <v>0</v>
      </c>
      <c r="K68" s="146">
        <f t="shared" si="199"/>
        <v>0</v>
      </c>
      <c r="L68" s="146">
        <f t="shared" si="199"/>
        <v>12681514.357692784</v>
      </c>
      <c r="M68" s="146">
        <f t="shared" si="199"/>
        <v>12681514.357692784</v>
      </c>
      <c r="N68" s="146">
        <f t="shared" si="199"/>
        <v>12681514.357692784</v>
      </c>
      <c r="O68" s="146">
        <f t="shared" si="199"/>
        <v>11624721.494551718</v>
      </c>
      <c r="P68" s="146">
        <f t="shared" si="199"/>
        <v>10567928.631410653</v>
      </c>
      <c r="Q68" s="146">
        <f t="shared" si="199"/>
        <v>9511135.7682695873</v>
      </c>
      <c r="R68" s="146">
        <f t="shared" si="199"/>
        <v>8454342.9051285218</v>
      </c>
      <c r="S68" s="146">
        <f t="shared" si="199"/>
        <v>7397550.0419874564</v>
      </c>
      <c r="T68" s="146">
        <f t="shared" si="199"/>
        <v>6340757.1788463909</v>
      </c>
      <c r="U68" s="146">
        <f t="shared" si="199"/>
        <v>5283964.3157053255</v>
      </c>
      <c r="V68" s="146">
        <f t="shared" si="199"/>
        <v>4227171.45256426</v>
      </c>
      <c r="W68" s="146">
        <f t="shared" si="199"/>
        <v>3170378.5894231945</v>
      </c>
      <c r="X68" s="146">
        <f t="shared" si="199"/>
        <v>2113585.7262821291</v>
      </c>
      <c r="Y68" s="146">
        <f t="shared" si="199"/>
        <v>1056792.8631410638</v>
      </c>
      <c r="Z68" s="146">
        <f t="shared" si="199"/>
        <v>0</v>
      </c>
      <c r="AA68" s="146">
        <f t="shared" si="199"/>
        <v>0</v>
      </c>
      <c r="AB68" s="146">
        <f t="shared" si="199"/>
        <v>0</v>
      </c>
      <c r="AC68" s="146">
        <f t="shared" si="199"/>
        <v>0</v>
      </c>
      <c r="AD68" s="146">
        <f t="shared" si="199"/>
        <v>0</v>
      </c>
      <c r="AE68" s="146">
        <f t="shared" si="199"/>
        <v>0</v>
      </c>
      <c r="AF68" s="146">
        <f t="shared" si="199"/>
        <v>0</v>
      </c>
      <c r="AG68" s="146">
        <f t="shared" si="199"/>
        <v>0</v>
      </c>
      <c r="AH68" s="146">
        <f t="shared" si="199"/>
        <v>0</v>
      </c>
      <c r="AI68" s="146">
        <f t="shared" si="199"/>
        <v>0</v>
      </c>
      <c r="AJ68" s="146">
        <f t="shared" si="199"/>
        <v>0</v>
      </c>
      <c r="AK68" s="146">
        <f t="shared" si="199"/>
        <v>0</v>
      </c>
      <c r="AL68" s="146">
        <f t="shared" si="199"/>
        <v>0</v>
      </c>
      <c r="AM68" s="146">
        <f t="shared" si="199"/>
        <v>0</v>
      </c>
    </row>
    <row r="69" spans="2:39" s="143" customFormat="1" ht="12.75" x14ac:dyDescent="0.2">
      <c r="B69" s="144" t="s">
        <v>156</v>
      </c>
      <c r="E69" s="146">
        <v>0</v>
      </c>
      <c r="F69" s="146">
        <v>0</v>
      </c>
      <c r="G69" s="146">
        <v>0</v>
      </c>
      <c r="H69" s="146">
        <v>0</v>
      </c>
      <c r="I69" s="146">
        <v>0</v>
      </c>
      <c r="J69" s="146">
        <v>0</v>
      </c>
      <c r="K69" s="146">
        <f>K$11*K$9</f>
        <v>12681514.357692784</v>
      </c>
    </row>
    <row r="70" spans="2:39" s="143" customFormat="1" ht="12.75" x14ac:dyDescent="0.2">
      <c r="B70" s="144" t="s">
        <v>159</v>
      </c>
      <c r="E70" s="146">
        <f t="shared" ref="E70:J70" si="200">SUM(E68:E69)*$K$12</f>
        <v>0</v>
      </c>
      <c r="F70" s="146">
        <f t="shared" si="200"/>
        <v>0</v>
      </c>
      <c r="G70" s="146">
        <f t="shared" si="200"/>
        <v>0</v>
      </c>
      <c r="H70" s="146">
        <f t="shared" si="200"/>
        <v>0</v>
      </c>
      <c r="I70" s="146">
        <f t="shared" si="200"/>
        <v>0</v>
      </c>
      <c r="J70" s="146">
        <f t="shared" si="200"/>
        <v>0</v>
      </c>
      <c r="K70" s="146">
        <f>SUM(K68:K69)*$K$12</f>
        <v>816010.54120153177</v>
      </c>
      <c r="L70" s="146">
        <f t="shared" ref="L70:AM70" si="201">SUM(L68:L69)*$K$12</f>
        <v>816010.54120153177</v>
      </c>
      <c r="M70" s="146">
        <f t="shared" si="201"/>
        <v>816010.54120153177</v>
      </c>
      <c r="N70" s="146">
        <f t="shared" si="201"/>
        <v>816010.54120153177</v>
      </c>
      <c r="O70" s="146">
        <f t="shared" si="201"/>
        <v>748009.6627680707</v>
      </c>
      <c r="P70" s="146">
        <f t="shared" si="201"/>
        <v>680008.78433460975</v>
      </c>
      <c r="Q70" s="146">
        <f t="shared" si="201"/>
        <v>612007.9059011488</v>
      </c>
      <c r="R70" s="146">
        <f t="shared" si="201"/>
        <v>544007.02746768773</v>
      </c>
      <c r="S70" s="146">
        <f t="shared" si="201"/>
        <v>476006.14903422678</v>
      </c>
      <c r="T70" s="146">
        <f t="shared" si="201"/>
        <v>408005.27060076583</v>
      </c>
      <c r="U70" s="146">
        <f t="shared" si="201"/>
        <v>340004.39216730482</v>
      </c>
      <c r="V70" s="146">
        <f t="shared" si="201"/>
        <v>272003.51373384381</v>
      </c>
      <c r="W70" s="146">
        <f t="shared" si="201"/>
        <v>204002.63530038286</v>
      </c>
      <c r="X70" s="146">
        <f t="shared" si="201"/>
        <v>136001.75686692185</v>
      </c>
      <c r="Y70" s="146">
        <f t="shared" si="201"/>
        <v>68000.878433460879</v>
      </c>
      <c r="Z70" s="146">
        <f t="shared" si="201"/>
        <v>0</v>
      </c>
      <c r="AA70" s="146">
        <f t="shared" si="201"/>
        <v>0</v>
      </c>
      <c r="AB70" s="146">
        <f t="shared" si="201"/>
        <v>0</v>
      </c>
      <c r="AC70" s="146">
        <f t="shared" si="201"/>
        <v>0</v>
      </c>
      <c r="AD70" s="146">
        <f t="shared" si="201"/>
        <v>0</v>
      </c>
      <c r="AE70" s="146">
        <f t="shared" si="201"/>
        <v>0</v>
      </c>
      <c r="AF70" s="146">
        <f t="shared" si="201"/>
        <v>0</v>
      </c>
      <c r="AG70" s="146">
        <f t="shared" si="201"/>
        <v>0</v>
      </c>
      <c r="AH70" s="146">
        <f t="shared" si="201"/>
        <v>0</v>
      </c>
      <c r="AI70" s="146">
        <f t="shared" si="201"/>
        <v>0</v>
      </c>
      <c r="AJ70" s="146">
        <f t="shared" si="201"/>
        <v>0</v>
      </c>
      <c r="AK70" s="146">
        <f t="shared" si="201"/>
        <v>0</v>
      </c>
      <c r="AL70" s="146">
        <f t="shared" si="201"/>
        <v>0</v>
      </c>
      <c r="AM70" s="146">
        <f t="shared" si="201"/>
        <v>0</v>
      </c>
    </row>
    <row r="71" spans="2:39" s="143" customFormat="1" ht="12.75" x14ac:dyDescent="0.2">
      <c r="B71" s="144" t="s">
        <v>161</v>
      </c>
      <c r="E71" s="146">
        <f>-E70</f>
        <v>0</v>
      </c>
      <c r="F71" s="146">
        <f>-F70</f>
        <v>0</v>
      </c>
      <c r="G71" s="146">
        <f>-G70</f>
        <v>0</v>
      </c>
      <c r="H71" s="146">
        <f t="shared" ref="H71" si="202">-H70</f>
        <v>0</v>
      </c>
      <c r="I71" s="146">
        <f t="shared" ref="I71" si="203">-I70</f>
        <v>0</v>
      </c>
      <c r="J71" s="146">
        <f t="shared" ref="J71" si="204">-J70</f>
        <v>0</v>
      </c>
      <c r="K71" s="146">
        <f t="shared" ref="K71" si="205">-K70</f>
        <v>-816010.54120153177</v>
      </c>
      <c r="L71" s="146">
        <f t="shared" ref="L71" si="206">-L70</f>
        <v>-816010.54120153177</v>
      </c>
      <c r="M71" s="146">
        <f t="shared" ref="M71" si="207">-M70</f>
        <v>-816010.54120153177</v>
      </c>
      <c r="N71" s="146">
        <f t="shared" ref="N71" si="208">-N70</f>
        <v>-816010.54120153177</v>
      </c>
      <c r="O71" s="146">
        <f t="shared" ref="O71" si="209">-O70</f>
        <v>-748009.6627680707</v>
      </c>
      <c r="P71" s="146">
        <f t="shared" ref="P71" si="210">-P70</f>
        <v>-680008.78433460975</v>
      </c>
      <c r="Q71" s="146">
        <f t="shared" ref="Q71" si="211">-Q70</f>
        <v>-612007.9059011488</v>
      </c>
      <c r="R71" s="146">
        <f t="shared" ref="R71" si="212">-R70</f>
        <v>-544007.02746768773</v>
      </c>
      <c r="S71" s="146">
        <f t="shared" ref="S71" si="213">-S70</f>
        <v>-476006.14903422678</v>
      </c>
      <c r="T71" s="146">
        <f t="shared" ref="T71" si="214">-T70</f>
        <v>-408005.27060076583</v>
      </c>
      <c r="U71" s="146">
        <f t="shared" ref="U71" si="215">-U70</f>
        <v>-340004.39216730482</v>
      </c>
      <c r="V71" s="146">
        <f t="shared" ref="V71" si="216">-V70</f>
        <v>-272003.51373384381</v>
      </c>
      <c r="W71" s="146">
        <f t="shared" ref="W71" si="217">-W70</f>
        <v>-204002.63530038286</v>
      </c>
      <c r="X71" s="146">
        <f t="shared" ref="X71" si="218">-X70</f>
        <v>-136001.75686692185</v>
      </c>
      <c r="Y71" s="146">
        <f t="shared" ref="Y71" si="219">-Y70</f>
        <v>-68000.878433460879</v>
      </c>
      <c r="Z71" s="146">
        <f t="shared" ref="Z71" si="220">-Z70</f>
        <v>0</v>
      </c>
      <c r="AA71" s="146">
        <f t="shared" ref="AA71" si="221">-AA70</f>
        <v>0</v>
      </c>
      <c r="AB71" s="146">
        <f t="shared" ref="AB71" si="222">-AB70</f>
        <v>0</v>
      </c>
      <c r="AC71" s="146">
        <f t="shared" ref="AC71" si="223">-AC70</f>
        <v>0</v>
      </c>
      <c r="AD71" s="146">
        <f t="shared" ref="AD71" si="224">-AD70</f>
        <v>0</v>
      </c>
      <c r="AE71" s="146">
        <f t="shared" ref="AE71" si="225">-AE70</f>
        <v>0</v>
      </c>
      <c r="AF71" s="146">
        <f t="shared" ref="AF71" si="226">-AF70</f>
        <v>0</v>
      </c>
      <c r="AG71" s="146">
        <f t="shared" ref="AG71" si="227">-AG70</f>
        <v>0</v>
      </c>
      <c r="AH71" s="146">
        <f t="shared" ref="AH71" si="228">-AH70</f>
        <v>0</v>
      </c>
      <c r="AI71" s="146">
        <f t="shared" ref="AI71" si="229">-AI70</f>
        <v>0</v>
      </c>
      <c r="AJ71" s="146">
        <f t="shared" ref="AJ71" si="230">-AJ70</f>
        <v>0</v>
      </c>
      <c r="AK71" s="146">
        <f t="shared" ref="AK71" si="231">-AK70</f>
        <v>0</v>
      </c>
      <c r="AL71" s="146">
        <f t="shared" ref="AL71" si="232">-AL70</f>
        <v>0</v>
      </c>
      <c r="AM71" s="146">
        <f t="shared" ref="AM71" si="233">-AM70</f>
        <v>0</v>
      </c>
    </row>
    <row r="72" spans="2:39" s="143" customFormat="1" ht="12.75" x14ac:dyDescent="0.2">
      <c r="B72" s="144" t="s">
        <v>95</v>
      </c>
      <c r="E72" s="145">
        <f t="shared" ref="E72:J72" si="234">IF(OR(E$8&lt;$K$15,E$8&gt;$K$16),0,-($K$9*$K$11)/($K$13-$K$14))</f>
        <v>0</v>
      </c>
      <c r="F72" s="145">
        <f t="shared" si="234"/>
        <v>0</v>
      </c>
      <c r="G72" s="145">
        <f t="shared" si="234"/>
        <v>0</v>
      </c>
      <c r="H72" s="145">
        <f t="shared" si="234"/>
        <v>0</v>
      </c>
      <c r="I72" s="145">
        <f t="shared" si="234"/>
        <v>0</v>
      </c>
      <c r="J72" s="145">
        <f t="shared" si="234"/>
        <v>0</v>
      </c>
      <c r="K72" s="145">
        <f>IF(OR(K$8&lt;$K$15,K$8&gt;$K$16),0,-($K$9*$K$11)/($K$13-$K$14))</f>
        <v>0</v>
      </c>
      <c r="L72" s="145">
        <f t="shared" ref="L72:AM72" si="235">IF(OR(L$8&lt;$K$15,L$8&gt;$K$16),0,-($K$9*$K$11)/($K$13-$K$14))</f>
        <v>0</v>
      </c>
      <c r="M72" s="145">
        <f t="shared" si="235"/>
        <v>0</v>
      </c>
      <c r="N72" s="145">
        <f t="shared" si="235"/>
        <v>-1056792.8631410652</v>
      </c>
      <c r="O72" s="145">
        <f t="shared" si="235"/>
        <v>-1056792.8631410652</v>
      </c>
      <c r="P72" s="145">
        <f t="shared" si="235"/>
        <v>-1056792.8631410652</v>
      </c>
      <c r="Q72" s="145">
        <f t="shared" si="235"/>
        <v>-1056792.8631410652</v>
      </c>
      <c r="R72" s="145">
        <f t="shared" si="235"/>
        <v>-1056792.8631410652</v>
      </c>
      <c r="S72" s="145">
        <f t="shared" si="235"/>
        <v>-1056792.8631410652</v>
      </c>
      <c r="T72" s="145">
        <f t="shared" si="235"/>
        <v>-1056792.8631410652</v>
      </c>
      <c r="U72" s="145">
        <f t="shared" si="235"/>
        <v>-1056792.8631410652</v>
      </c>
      <c r="V72" s="145">
        <f t="shared" si="235"/>
        <v>-1056792.8631410652</v>
      </c>
      <c r="W72" s="145">
        <f t="shared" si="235"/>
        <v>-1056792.8631410652</v>
      </c>
      <c r="X72" s="145">
        <f t="shared" si="235"/>
        <v>-1056792.8631410652</v>
      </c>
      <c r="Y72" s="145">
        <f t="shared" si="235"/>
        <v>-1056792.8631410652</v>
      </c>
      <c r="Z72" s="145">
        <f t="shared" si="235"/>
        <v>0</v>
      </c>
      <c r="AA72" s="145">
        <f t="shared" si="235"/>
        <v>0</v>
      </c>
      <c r="AB72" s="145">
        <f t="shared" si="235"/>
        <v>0</v>
      </c>
      <c r="AC72" s="145">
        <f t="shared" si="235"/>
        <v>0</v>
      </c>
      <c r="AD72" s="145">
        <f t="shared" si="235"/>
        <v>0</v>
      </c>
      <c r="AE72" s="145">
        <f t="shared" si="235"/>
        <v>0</v>
      </c>
      <c r="AF72" s="145">
        <f t="shared" si="235"/>
        <v>0</v>
      </c>
      <c r="AG72" s="145">
        <f t="shared" si="235"/>
        <v>0</v>
      </c>
      <c r="AH72" s="145">
        <f t="shared" si="235"/>
        <v>0</v>
      </c>
      <c r="AI72" s="145">
        <f t="shared" si="235"/>
        <v>0</v>
      </c>
      <c r="AJ72" s="145">
        <f t="shared" si="235"/>
        <v>0</v>
      </c>
      <c r="AK72" s="145">
        <f t="shared" si="235"/>
        <v>0</v>
      </c>
      <c r="AL72" s="145">
        <f t="shared" si="235"/>
        <v>0</v>
      </c>
      <c r="AM72" s="145">
        <f t="shared" si="235"/>
        <v>0</v>
      </c>
    </row>
    <row r="73" spans="2:39" s="143" customFormat="1" ht="12.75" x14ac:dyDescent="0.2"/>
    <row r="74" spans="2:39" s="143" customFormat="1" ht="12.75" x14ac:dyDescent="0.2"/>
    <row r="75" spans="2:39" s="143" customFormat="1" ht="12.75" x14ac:dyDescent="0.2"/>
    <row r="76" spans="2:39" s="143" customFormat="1" ht="12.75" x14ac:dyDescent="0.2"/>
    <row r="77" spans="2:39" s="143" customFormat="1" ht="12.75" x14ac:dyDescent="0.2"/>
    <row r="78" spans="2:39" s="143" customFormat="1" ht="12.75" x14ac:dyDescent="0.2"/>
    <row r="79" spans="2:39" s="143" customFormat="1" ht="12.75" x14ac:dyDescent="0.2"/>
    <row r="80" spans="2:39" s="143" customFormat="1" ht="12.75" x14ac:dyDescent="0.2"/>
    <row r="81" s="143" customFormat="1" ht="12.75" x14ac:dyDescent="0.2"/>
    <row r="82" s="143" customFormat="1" ht="12.75" x14ac:dyDescent="0.2"/>
    <row r="83" s="143" customFormat="1" ht="12.75" x14ac:dyDescent="0.2"/>
    <row r="84" s="143" customFormat="1" ht="12.75" x14ac:dyDescent="0.2"/>
    <row r="85" s="143" customFormat="1" ht="12.75" x14ac:dyDescent="0.2"/>
    <row r="86" s="143" customFormat="1" ht="12.75" x14ac:dyDescent="0.2"/>
    <row r="87" s="143" customFormat="1" ht="12.75" x14ac:dyDescent="0.2"/>
    <row r="88" s="143" customFormat="1" ht="12.75" x14ac:dyDescent="0.2"/>
    <row r="89" s="143" customFormat="1" ht="12.75" x14ac:dyDescent="0.2"/>
    <row r="90" s="143" customFormat="1" ht="12.75" x14ac:dyDescent="0.2"/>
    <row r="91" s="143" customFormat="1" ht="12.75" x14ac:dyDescent="0.2"/>
    <row r="92" s="143" customFormat="1" ht="12.75" x14ac:dyDescent="0.2"/>
    <row r="93" s="143" customFormat="1" ht="12.75" x14ac:dyDescent="0.2"/>
    <row r="94" s="143" customFormat="1" ht="12.75" x14ac:dyDescent="0.2"/>
    <row r="95" s="143" customFormat="1" ht="12.75" x14ac:dyDescent="0.2"/>
    <row r="96" s="143" customFormat="1" ht="12.75" x14ac:dyDescent="0.2"/>
    <row r="97" s="143" customFormat="1" ht="12.75" x14ac:dyDescent="0.2"/>
    <row r="98" s="143" customFormat="1" ht="12.75" x14ac:dyDescent="0.2"/>
    <row r="99" s="143" customFormat="1" ht="12.75" x14ac:dyDescent="0.2"/>
    <row r="100" s="143" customFormat="1" ht="12.75" x14ac:dyDescent="0.2"/>
    <row r="101" s="143" customFormat="1" ht="12.75" x14ac:dyDescent="0.2"/>
    <row r="102" s="143" customFormat="1" ht="12.75" x14ac:dyDescent="0.2"/>
    <row r="103" s="143" customFormat="1" ht="12.75" x14ac:dyDescent="0.2"/>
    <row r="104" s="143" customFormat="1" ht="12.75" x14ac:dyDescent="0.2"/>
    <row r="105" s="143" customFormat="1" ht="12.75" x14ac:dyDescent="0.2"/>
    <row r="106" s="143" customFormat="1" ht="12.75" x14ac:dyDescent="0.2"/>
    <row r="107" s="143" customFormat="1" ht="12.75" x14ac:dyDescent="0.2"/>
    <row r="108" s="143" customFormat="1" ht="12.75" x14ac:dyDescent="0.2"/>
    <row r="109" s="143" customFormat="1" ht="12.75" x14ac:dyDescent="0.2"/>
    <row r="110" s="143" customFormat="1" ht="12.75" x14ac:dyDescent="0.2"/>
    <row r="111" s="143" customFormat="1" ht="12.75" x14ac:dyDescent="0.2"/>
    <row r="112" s="143" customFormat="1" ht="12.75" x14ac:dyDescent="0.2"/>
    <row r="113" s="143" customFormat="1" ht="12.75" x14ac:dyDescent="0.2"/>
    <row r="114" s="143" customFormat="1" ht="12.75" x14ac:dyDescent="0.2"/>
    <row r="115" s="143" customFormat="1" ht="12.75" x14ac:dyDescent="0.2"/>
    <row r="116" s="143" customFormat="1" ht="12.75" x14ac:dyDescent="0.2"/>
    <row r="117" s="143" customFormat="1" ht="12.75" x14ac:dyDescent="0.2"/>
    <row r="118" s="143" customFormat="1" ht="12.75" x14ac:dyDescent="0.2"/>
    <row r="119" s="143" customFormat="1" ht="12.75" x14ac:dyDescent="0.2"/>
    <row r="120" s="143" customFormat="1" ht="12.75" x14ac:dyDescent="0.2"/>
    <row r="121" s="143" customFormat="1" ht="12.75" x14ac:dyDescent="0.2"/>
    <row r="122" s="143" customFormat="1" ht="12.75" x14ac:dyDescent="0.2"/>
    <row r="123" s="143" customFormat="1" ht="12.75" x14ac:dyDescent="0.2"/>
    <row r="124" s="143" customFormat="1" ht="12.75" x14ac:dyDescent="0.2"/>
    <row r="125" s="143" customFormat="1" ht="12.75" x14ac:dyDescent="0.2"/>
    <row r="126" s="143" customFormat="1" ht="12.75" x14ac:dyDescent="0.2"/>
    <row r="127" s="143" customFormat="1" ht="12.75" x14ac:dyDescent="0.2"/>
    <row r="128" s="143" customFormat="1" ht="12.75" x14ac:dyDescent="0.2"/>
    <row r="129" s="143" customFormat="1" ht="12.75" x14ac:dyDescent="0.2"/>
    <row r="130" s="143" customFormat="1" ht="12.75" x14ac:dyDescent="0.2"/>
    <row r="131" s="143" customFormat="1" ht="12.75" x14ac:dyDescent="0.2"/>
    <row r="132" s="143" customFormat="1" ht="12.75" x14ac:dyDescent="0.2"/>
    <row r="133" s="143" customFormat="1" ht="12.75" x14ac:dyDescent="0.2"/>
    <row r="134" s="143" customFormat="1" ht="12.75" x14ac:dyDescent="0.2"/>
    <row r="135" s="143" customFormat="1" ht="12.75" x14ac:dyDescent="0.2"/>
    <row r="136" s="143" customFormat="1" ht="12.75" x14ac:dyDescent="0.2"/>
    <row r="137" s="143" customFormat="1" ht="12.75" x14ac:dyDescent="0.2"/>
    <row r="138" s="143" customFormat="1" ht="12.75" x14ac:dyDescent="0.2"/>
    <row r="139" s="143" customFormat="1" ht="12.75" x14ac:dyDescent="0.2"/>
    <row r="140" s="143" customFormat="1" ht="12.75" x14ac:dyDescent="0.2"/>
    <row r="141" s="143" customFormat="1" ht="12.75" x14ac:dyDescent="0.2"/>
    <row r="142" s="143" customFormat="1" ht="12.75" x14ac:dyDescent="0.2"/>
    <row r="143" s="143" customFormat="1" ht="12.75" x14ac:dyDescent="0.2"/>
    <row r="144" s="143" customFormat="1" ht="12.75" x14ac:dyDescent="0.2"/>
    <row r="145" s="143" customFormat="1" ht="12.75" x14ac:dyDescent="0.2"/>
    <row r="146" s="143" customFormat="1" ht="12.75" x14ac:dyDescent="0.2"/>
    <row r="147" s="143" customFormat="1" ht="12.75" x14ac:dyDescent="0.2"/>
    <row r="148" s="143" customFormat="1" ht="12.75" x14ac:dyDescent="0.2"/>
    <row r="149" s="143" customFormat="1" ht="12.75" x14ac:dyDescent="0.2"/>
    <row r="150" s="143" customFormat="1" ht="12.75" x14ac:dyDescent="0.2"/>
    <row r="151" s="143" customFormat="1" ht="12.75" x14ac:dyDescent="0.2"/>
    <row r="152" s="143" customFormat="1" ht="12.75" x14ac:dyDescent="0.2"/>
    <row r="153" s="143" customFormat="1" ht="12.75" x14ac:dyDescent="0.2"/>
    <row r="154" s="143" customFormat="1" ht="12.75" x14ac:dyDescent="0.2"/>
    <row r="155" s="143" customFormat="1" ht="12.75" x14ac:dyDescent="0.2"/>
    <row r="156" s="143" customFormat="1" ht="12.75" x14ac:dyDescent="0.2"/>
    <row r="157" s="143" customFormat="1" ht="12.75" x14ac:dyDescent="0.2"/>
    <row r="158" s="143" customFormat="1" ht="12.75" x14ac:dyDescent="0.2"/>
    <row r="159" s="143" customFormat="1" ht="12.75" x14ac:dyDescent="0.2"/>
    <row r="160" s="143" customFormat="1" ht="12.75" x14ac:dyDescent="0.2"/>
    <row r="161" s="143" customFormat="1" ht="12.75" x14ac:dyDescent="0.2"/>
    <row r="162" s="143" customFormat="1" ht="12.75" x14ac:dyDescent="0.2"/>
    <row r="163" s="143" customFormat="1" ht="12.75" x14ac:dyDescent="0.2"/>
    <row r="164" s="143" customFormat="1" ht="12.75" x14ac:dyDescent="0.2"/>
    <row r="165" s="143" customFormat="1" ht="12.75" x14ac:dyDescent="0.2"/>
    <row r="166" s="143" customFormat="1" ht="12.75" x14ac:dyDescent="0.2"/>
    <row r="167" s="143" customFormat="1" ht="12.75" x14ac:dyDescent="0.2"/>
    <row r="168" s="143" customFormat="1" ht="12.75" x14ac:dyDescent="0.2"/>
  </sheetData>
  <conditionalFormatting sqref="F1:F7">
    <cfRule type="cellIs" dxfId="1" priority="2" operator="lessThan">
      <formula>0</formula>
    </cfRule>
  </conditionalFormatting>
  <conditionalFormatting sqref="G7">
    <cfRule type="cellIs" dxfId="0" priority="1" operator="less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L92"/>
  <sheetViews>
    <sheetView showGridLines="0" zoomScale="80" zoomScaleNormal="80" workbookViewId="0"/>
  </sheetViews>
  <sheetFormatPr defaultRowHeight="15" x14ac:dyDescent="0.25"/>
  <cols>
    <col min="1" max="1" width="5.42578125" style="2" customWidth="1"/>
    <col min="2" max="2" width="10.5703125" style="2" customWidth="1"/>
    <col min="3" max="3" width="15.140625" style="2" bestFit="1" customWidth="1"/>
    <col min="4" max="38" width="12.28515625" style="2" customWidth="1"/>
    <col min="39" max="16384" width="9.140625" style="2"/>
  </cols>
  <sheetData>
    <row r="1" spans="1:38" s="7" customFormat="1" x14ac:dyDescent="0.25">
      <c r="B1" s="23"/>
      <c r="D1" s="73"/>
      <c r="E1" s="8"/>
      <c r="F1" s="73"/>
      <c r="H1" s="73"/>
      <c r="I1" s="8"/>
      <c r="K1" s="23"/>
      <c r="M1" s="73"/>
      <c r="N1" s="8"/>
      <c r="O1" s="73"/>
      <c r="Q1" s="73"/>
      <c r="R1" s="8"/>
      <c r="S1" s="73"/>
    </row>
    <row r="2" spans="1:38" s="7" customFormat="1" x14ac:dyDescent="0.25">
      <c r="B2" s="23"/>
      <c r="D2" s="73"/>
      <c r="E2" s="8"/>
      <c r="F2" s="73"/>
      <c r="H2" s="73"/>
      <c r="I2" s="8"/>
      <c r="K2" s="23"/>
      <c r="M2" s="73"/>
      <c r="N2" s="8"/>
      <c r="O2" s="73"/>
      <c r="Q2" s="73"/>
      <c r="R2" s="8"/>
      <c r="S2" s="73"/>
    </row>
    <row r="3" spans="1:38" ht="24.75" customHeight="1" x14ac:dyDescent="0.25">
      <c r="A3" s="74"/>
      <c r="B3" s="23"/>
      <c r="C3" s="7"/>
      <c r="D3" s="73"/>
      <c r="E3" s="8"/>
      <c r="F3" s="74"/>
      <c r="G3" s="74"/>
      <c r="H3" s="74"/>
      <c r="I3" s="74"/>
    </row>
    <row r="4" spans="1:38" ht="24.75" customHeight="1" x14ac:dyDescent="0.25">
      <c r="A4" s="74"/>
      <c r="B4" s="23"/>
      <c r="C4" s="7"/>
      <c r="D4" s="73"/>
      <c r="E4" s="8"/>
      <c r="F4" s="74"/>
      <c r="G4" s="74"/>
      <c r="H4" s="74"/>
      <c r="I4" s="74"/>
    </row>
    <row r="5" spans="1:38" ht="6" customHeight="1" x14ac:dyDescent="0.25">
      <c r="A5" s="75"/>
      <c r="B5" s="23"/>
      <c r="C5" s="7"/>
      <c r="D5" s="73"/>
      <c r="E5" s="8"/>
      <c r="F5" s="75"/>
    </row>
    <row r="6" spans="1:38" ht="31.5" customHeight="1" x14ac:dyDescent="0.25">
      <c r="A6" s="75"/>
      <c r="B6" s="69" t="s">
        <v>82</v>
      </c>
      <c r="C6" s="69"/>
      <c r="D6" s="69"/>
      <c r="E6" s="69"/>
      <c r="F6" s="69"/>
      <c r="G6" s="69"/>
      <c r="H6" s="35"/>
      <c r="I6" s="35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</row>
    <row r="7" spans="1:38" s="7" customFormat="1" ht="4.5" customHeight="1" thickBot="1" x14ac:dyDescent="0.3">
      <c r="B7" s="76"/>
      <c r="C7" s="76"/>
      <c r="D7" s="76"/>
      <c r="E7" s="76"/>
      <c r="F7" s="76"/>
      <c r="G7" s="76"/>
      <c r="H7" s="76"/>
      <c r="I7" s="76"/>
      <c r="J7" s="82"/>
      <c r="K7" s="83"/>
      <c r="L7" s="83"/>
      <c r="M7" s="83"/>
      <c r="N7" s="83"/>
      <c r="O7" s="83"/>
      <c r="P7" s="83"/>
      <c r="Q7" s="83"/>
      <c r="R7" s="83"/>
      <c r="S7" s="84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</row>
    <row r="8" spans="1:38" ht="15.75" thickTop="1" x14ac:dyDescent="0.25">
      <c r="B8" s="1"/>
    </row>
    <row r="9" spans="1:38" x14ac:dyDescent="0.25">
      <c r="B9" s="1" t="s">
        <v>81</v>
      </c>
      <c r="F9" s="2">
        <v>25</v>
      </c>
    </row>
    <row r="10" spans="1:38" ht="6.75" customHeight="1" x14ac:dyDescent="0.25">
      <c r="B10" s="1"/>
    </row>
    <row r="11" spans="1:38" x14ac:dyDescent="0.25">
      <c r="B11" s="77" t="s">
        <v>60</v>
      </c>
      <c r="C11" s="77" t="s">
        <v>79</v>
      </c>
      <c r="D11" s="77">
        <v>1</v>
      </c>
      <c r="E11" s="77">
        <v>2</v>
      </c>
      <c r="F11" s="77">
        <v>3</v>
      </c>
      <c r="G11" s="77">
        <v>4</v>
      </c>
      <c r="H11" s="77">
        <v>5</v>
      </c>
      <c r="I11" s="77">
        <v>6</v>
      </c>
      <c r="J11" s="77">
        <v>7</v>
      </c>
      <c r="K11" s="77">
        <v>8</v>
      </c>
      <c r="L11" s="77">
        <v>9</v>
      </c>
      <c r="M11" s="77">
        <v>10</v>
      </c>
      <c r="N11" s="77">
        <v>11</v>
      </c>
      <c r="O11" s="77">
        <v>12</v>
      </c>
      <c r="P11" s="77">
        <v>13</v>
      </c>
      <c r="Q11" s="77">
        <v>14</v>
      </c>
      <c r="R11" s="77">
        <v>15</v>
      </c>
      <c r="S11" s="77">
        <v>16</v>
      </c>
      <c r="T11" s="77">
        <v>17</v>
      </c>
      <c r="U11" s="77">
        <v>18</v>
      </c>
      <c r="V11" s="77">
        <v>19</v>
      </c>
      <c r="W11" s="77">
        <v>20</v>
      </c>
      <c r="X11" s="77">
        <v>21</v>
      </c>
      <c r="Y11" s="77">
        <v>22</v>
      </c>
      <c r="Z11" s="77">
        <v>23</v>
      </c>
      <c r="AA11" s="77">
        <v>24</v>
      </c>
      <c r="AB11" s="77">
        <v>25</v>
      </c>
      <c r="AC11" s="77">
        <v>26</v>
      </c>
      <c r="AD11" s="77">
        <v>27</v>
      </c>
      <c r="AE11" s="77">
        <v>28</v>
      </c>
      <c r="AF11" s="77">
        <v>29</v>
      </c>
      <c r="AG11" s="77">
        <v>30</v>
      </c>
      <c r="AH11" s="77">
        <v>31</v>
      </c>
      <c r="AI11" s="77">
        <v>32</v>
      </c>
      <c r="AJ11" s="77">
        <v>33</v>
      </c>
      <c r="AK11" s="77">
        <v>34</v>
      </c>
      <c r="AL11" s="77">
        <v>35</v>
      </c>
    </row>
    <row r="12" spans="1:38" x14ac:dyDescent="0.25">
      <c r="A12" s="2">
        <f t="shared" ref="A12:A46" si="0">IF($F$9+B12&lt;=35,$F$9+B12,35)</f>
        <v>26</v>
      </c>
      <c r="B12" s="32">
        <v>1</v>
      </c>
      <c r="C12" s="78">
        <f>-HLOOKUP(B12,'DemFin Proj'!$E$51:$O$58,7,FALSE)</f>
        <v>68558874.354304582</v>
      </c>
      <c r="D12" s="79">
        <f t="shared" ref="D12:AL12" si="1">IF(OR(D$11&lt;=$B12,D$11&gt;($B12+$F$9)),0,$C12/$F$9)</f>
        <v>0</v>
      </c>
      <c r="E12" s="79">
        <f t="shared" si="1"/>
        <v>2742354.9741721833</v>
      </c>
      <c r="F12" s="79">
        <f t="shared" si="1"/>
        <v>2742354.9741721833</v>
      </c>
      <c r="G12" s="79">
        <f t="shared" si="1"/>
        <v>2742354.9741721833</v>
      </c>
      <c r="H12" s="79">
        <f t="shared" si="1"/>
        <v>2742354.9741721833</v>
      </c>
      <c r="I12" s="79">
        <f t="shared" si="1"/>
        <v>2742354.9741721833</v>
      </c>
      <c r="J12" s="79">
        <f t="shared" si="1"/>
        <v>2742354.9741721833</v>
      </c>
      <c r="K12" s="79">
        <f t="shared" si="1"/>
        <v>2742354.9741721833</v>
      </c>
      <c r="L12" s="79">
        <f t="shared" si="1"/>
        <v>2742354.9741721833</v>
      </c>
      <c r="M12" s="79">
        <f t="shared" si="1"/>
        <v>2742354.9741721833</v>
      </c>
      <c r="N12" s="79">
        <f t="shared" si="1"/>
        <v>2742354.9741721833</v>
      </c>
      <c r="O12" s="79">
        <f t="shared" si="1"/>
        <v>2742354.9741721833</v>
      </c>
      <c r="P12" s="79">
        <f t="shared" si="1"/>
        <v>2742354.9741721833</v>
      </c>
      <c r="Q12" s="79">
        <f t="shared" si="1"/>
        <v>2742354.9741721833</v>
      </c>
      <c r="R12" s="79">
        <f t="shared" si="1"/>
        <v>2742354.9741721833</v>
      </c>
      <c r="S12" s="79">
        <f t="shared" si="1"/>
        <v>2742354.9741721833</v>
      </c>
      <c r="T12" s="79">
        <f t="shared" si="1"/>
        <v>2742354.9741721833</v>
      </c>
      <c r="U12" s="79">
        <f t="shared" si="1"/>
        <v>2742354.9741721833</v>
      </c>
      <c r="V12" s="79">
        <f t="shared" si="1"/>
        <v>2742354.9741721833</v>
      </c>
      <c r="W12" s="79">
        <f t="shared" si="1"/>
        <v>2742354.9741721833</v>
      </c>
      <c r="X12" s="79">
        <f t="shared" si="1"/>
        <v>2742354.9741721833</v>
      </c>
      <c r="Y12" s="79">
        <f t="shared" si="1"/>
        <v>2742354.9741721833</v>
      </c>
      <c r="Z12" s="79">
        <f t="shared" si="1"/>
        <v>2742354.9741721833</v>
      </c>
      <c r="AA12" s="79">
        <f t="shared" si="1"/>
        <v>2742354.9741721833</v>
      </c>
      <c r="AB12" s="79">
        <f t="shared" si="1"/>
        <v>2742354.9741721833</v>
      </c>
      <c r="AC12" s="79">
        <f t="shared" si="1"/>
        <v>2742354.9741721833</v>
      </c>
      <c r="AD12" s="79">
        <f t="shared" si="1"/>
        <v>0</v>
      </c>
      <c r="AE12" s="79">
        <f t="shared" si="1"/>
        <v>0</v>
      </c>
      <c r="AF12" s="79">
        <f t="shared" si="1"/>
        <v>0</v>
      </c>
      <c r="AG12" s="79">
        <f t="shared" si="1"/>
        <v>0</v>
      </c>
      <c r="AH12" s="79">
        <f t="shared" si="1"/>
        <v>0</v>
      </c>
      <c r="AI12" s="79">
        <f t="shared" si="1"/>
        <v>0</v>
      </c>
      <c r="AJ12" s="79">
        <f t="shared" si="1"/>
        <v>0</v>
      </c>
      <c r="AK12" s="79">
        <f t="shared" si="1"/>
        <v>0</v>
      </c>
      <c r="AL12" s="79">
        <f t="shared" si="1"/>
        <v>0</v>
      </c>
    </row>
    <row r="13" spans="1:38" x14ac:dyDescent="0.25">
      <c r="A13" s="2">
        <f t="shared" si="0"/>
        <v>27</v>
      </c>
      <c r="B13" s="32">
        <v>2</v>
      </c>
      <c r="C13" s="78">
        <f>-HLOOKUP(B13,'DemFin Proj'!$E$51:$O$58,7,FALSE)</f>
        <v>81730460.258104399</v>
      </c>
      <c r="D13" s="79">
        <f t="shared" ref="D13:M22" si="2">IF(OR(D$11&lt;=$B13,D$11&gt;($B13+$F$9)),0,$C13/$F$9)</f>
        <v>0</v>
      </c>
      <c r="E13" s="79">
        <f t="shared" si="2"/>
        <v>0</v>
      </c>
      <c r="F13" s="79">
        <f t="shared" si="2"/>
        <v>3269218.4103241758</v>
      </c>
      <c r="G13" s="79">
        <f t="shared" si="2"/>
        <v>3269218.4103241758</v>
      </c>
      <c r="H13" s="79">
        <f t="shared" si="2"/>
        <v>3269218.4103241758</v>
      </c>
      <c r="I13" s="79">
        <f t="shared" si="2"/>
        <v>3269218.4103241758</v>
      </c>
      <c r="J13" s="79">
        <f t="shared" si="2"/>
        <v>3269218.4103241758</v>
      </c>
      <c r="K13" s="79">
        <f t="shared" si="2"/>
        <v>3269218.4103241758</v>
      </c>
      <c r="L13" s="79">
        <f t="shared" si="2"/>
        <v>3269218.4103241758</v>
      </c>
      <c r="M13" s="79">
        <f t="shared" si="2"/>
        <v>3269218.4103241758</v>
      </c>
      <c r="N13" s="79">
        <f t="shared" ref="N13:W22" si="3">IF(OR(N$11&lt;=$B13,N$11&gt;($B13+$F$9)),0,$C13/$F$9)</f>
        <v>3269218.4103241758</v>
      </c>
      <c r="O13" s="79">
        <f t="shared" si="3"/>
        <v>3269218.4103241758</v>
      </c>
      <c r="P13" s="79">
        <f t="shared" si="3"/>
        <v>3269218.4103241758</v>
      </c>
      <c r="Q13" s="79">
        <f t="shared" si="3"/>
        <v>3269218.4103241758</v>
      </c>
      <c r="R13" s="79">
        <f t="shared" si="3"/>
        <v>3269218.4103241758</v>
      </c>
      <c r="S13" s="79">
        <f t="shared" si="3"/>
        <v>3269218.4103241758</v>
      </c>
      <c r="T13" s="79">
        <f t="shared" si="3"/>
        <v>3269218.4103241758</v>
      </c>
      <c r="U13" s="79">
        <f t="shared" si="3"/>
        <v>3269218.4103241758</v>
      </c>
      <c r="V13" s="79">
        <f t="shared" si="3"/>
        <v>3269218.4103241758</v>
      </c>
      <c r="W13" s="79">
        <f t="shared" si="3"/>
        <v>3269218.4103241758</v>
      </c>
      <c r="X13" s="79">
        <f t="shared" ref="X13:AG22" si="4">IF(OR(X$11&lt;=$B13,X$11&gt;($B13+$F$9)),0,$C13/$F$9)</f>
        <v>3269218.4103241758</v>
      </c>
      <c r="Y13" s="79">
        <f t="shared" si="4"/>
        <v>3269218.4103241758</v>
      </c>
      <c r="Z13" s="79">
        <f t="shared" si="4"/>
        <v>3269218.4103241758</v>
      </c>
      <c r="AA13" s="79">
        <f t="shared" si="4"/>
        <v>3269218.4103241758</v>
      </c>
      <c r="AB13" s="79">
        <f t="shared" si="4"/>
        <v>3269218.4103241758</v>
      </c>
      <c r="AC13" s="79">
        <f t="shared" si="4"/>
        <v>3269218.4103241758</v>
      </c>
      <c r="AD13" s="79">
        <f t="shared" si="4"/>
        <v>3269218.4103241758</v>
      </c>
      <c r="AE13" s="79">
        <f t="shared" si="4"/>
        <v>0</v>
      </c>
      <c r="AF13" s="79">
        <f t="shared" si="4"/>
        <v>0</v>
      </c>
      <c r="AG13" s="79">
        <f t="shared" si="4"/>
        <v>0</v>
      </c>
      <c r="AH13" s="79">
        <f t="shared" ref="AH13:AL22" si="5">IF(OR(AH$11&lt;=$B13,AH$11&gt;($B13+$F$9)),0,$C13/($A13-$B13))</f>
        <v>0</v>
      </c>
      <c r="AI13" s="79">
        <f t="shared" si="5"/>
        <v>0</v>
      </c>
      <c r="AJ13" s="79">
        <f t="shared" si="5"/>
        <v>0</v>
      </c>
      <c r="AK13" s="79">
        <f t="shared" si="5"/>
        <v>0</v>
      </c>
      <c r="AL13" s="79">
        <f t="shared" si="5"/>
        <v>0</v>
      </c>
    </row>
    <row r="14" spans="1:38" x14ac:dyDescent="0.25">
      <c r="A14" s="2">
        <f t="shared" si="0"/>
        <v>28</v>
      </c>
      <c r="B14" s="32">
        <v>3</v>
      </c>
      <c r="C14" s="78">
        <f>-HLOOKUP(B14,'DemFin Proj'!$E$51:$O$58,7,FALSE)</f>
        <v>54048707.983025655</v>
      </c>
      <c r="D14" s="79">
        <f t="shared" si="2"/>
        <v>0</v>
      </c>
      <c r="E14" s="79">
        <f t="shared" si="2"/>
        <v>0</v>
      </c>
      <c r="F14" s="79">
        <f t="shared" si="2"/>
        <v>0</v>
      </c>
      <c r="G14" s="79">
        <f t="shared" si="2"/>
        <v>2161948.3193210261</v>
      </c>
      <c r="H14" s="79">
        <f t="shared" si="2"/>
        <v>2161948.3193210261</v>
      </c>
      <c r="I14" s="79">
        <f t="shared" si="2"/>
        <v>2161948.3193210261</v>
      </c>
      <c r="J14" s="79">
        <f t="shared" si="2"/>
        <v>2161948.3193210261</v>
      </c>
      <c r="K14" s="79">
        <f t="shared" si="2"/>
        <v>2161948.3193210261</v>
      </c>
      <c r="L14" s="79">
        <f t="shared" si="2"/>
        <v>2161948.3193210261</v>
      </c>
      <c r="M14" s="79">
        <f t="shared" si="2"/>
        <v>2161948.3193210261</v>
      </c>
      <c r="N14" s="79">
        <f t="shared" si="3"/>
        <v>2161948.3193210261</v>
      </c>
      <c r="O14" s="79">
        <f t="shared" si="3"/>
        <v>2161948.3193210261</v>
      </c>
      <c r="P14" s="79">
        <f t="shared" si="3"/>
        <v>2161948.3193210261</v>
      </c>
      <c r="Q14" s="79">
        <f t="shared" si="3"/>
        <v>2161948.3193210261</v>
      </c>
      <c r="R14" s="79">
        <f t="shared" si="3"/>
        <v>2161948.3193210261</v>
      </c>
      <c r="S14" s="79">
        <f t="shared" si="3"/>
        <v>2161948.3193210261</v>
      </c>
      <c r="T14" s="79">
        <f t="shared" si="3"/>
        <v>2161948.3193210261</v>
      </c>
      <c r="U14" s="79">
        <f t="shared" si="3"/>
        <v>2161948.3193210261</v>
      </c>
      <c r="V14" s="79">
        <f t="shared" si="3"/>
        <v>2161948.3193210261</v>
      </c>
      <c r="W14" s="79">
        <f t="shared" si="3"/>
        <v>2161948.3193210261</v>
      </c>
      <c r="X14" s="79">
        <f t="shared" si="4"/>
        <v>2161948.3193210261</v>
      </c>
      <c r="Y14" s="79">
        <f t="shared" si="4"/>
        <v>2161948.3193210261</v>
      </c>
      <c r="Z14" s="79">
        <f t="shared" si="4"/>
        <v>2161948.3193210261</v>
      </c>
      <c r="AA14" s="79">
        <f t="shared" si="4"/>
        <v>2161948.3193210261</v>
      </c>
      <c r="AB14" s="79">
        <f t="shared" si="4"/>
        <v>2161948.3193210261</v>
      </c>
      <c r="AC14" s="79">
        <f t="shared" si="4"/>
        <v>2161948.3193210261</v>
      </c>
      <c r="AD14" s="79">
        <f t="shared" si="4"/>
        <v>2161948.3193210261</v>
      </c>
      <c r="AE14" s="79">
        <f t="shared" si="4"/>
        <v>2161948.3193210261</v>
      </c>
      <c r="AF14" s="79">
        <f t="shared" si="4"/>
        <v>0</v>
      </c>
      <c r="AG14" s="79">
        <f t="shared" si="4"/>
        <v>0</v>
      </c>
      <c r="AH14" s="79">
        <f t="shared" si="5"/>
        <v>0</v>
      </c>
      <c r="AI14" s="79">
        <f t="shared" si="5"/>
        <v>0</v>
      </c>
      <c r="AJ14" s="79">
        <f t="shared" si="5"/>
        <v>0</v>
      </c>
      <c r="AK14" s="79">
        <f t="shared" si="5"/>
        <v>0</v>
      </c>
      <c r="AL14" s="79">
        <f t="shared" si="5"/>
        <v>0</v>
      </c>
    </row>
    <row r="15" spans="1:38" x14ac:dyDescent="0.25">
      <c r="A15" s="2">
        <f t="shared" si="0"/>
        <v>29</v>
      </c>
      <c r="B15" s="32">
        <v>4</v>
      </c>
      <c r="C15" s="78">
        <f>-HLOOKUP(B15,'DemFin Proj'!$E$51:$O$58,7,FALSE)</f>
        <v>57647619.40175245</v>
      </c>
      <c r="D15" s="79">
        <f t="shared" si="2"/>
        <v>0</v>
      </c>
      <c r="E15" s="79">
        <f t="shared" si="2"/>
        <v>0</v>
      </c>
      <c r="F15" s="79">
        <f t="shared" si="2"/>
        <v>0</v>
      </c>
      <c r="G15" s="79">
        <f t="shared" si="2"/>
        <v>0</v>
      </c>
      <c r="H15" s="79">
        <f t="shared" si="2"/>
        <v>2305904.7760700979</v>
      </c>
      <c r="I15" s="79">
        <f t="shared" si="2"/>
        <v>2305904.7760700979</v>
      </c>
      <c r="J15" s="79">
        <f t="shared" si="2"/>
        <v>2305904.7760700979</v>
      </c>
      <c r="K15" s="79">
        <f t="shared" si="2"/>
        <v>2305904.7760700979</v>
      </c>
      <c r="L15" s="79">
        <f t="shared" si="2"/>
        <v>2305904.7760700979</v>
      </c>
      <c r="M15" s="79">
        <f t="shared" si="2"/>
        <v>2305904.7760700979</v>
      </c>
      <c r="N15" s="79">
        <f t="shared" si="3"/>
        <v>2305904.7760700979</v>
      </c>
      <c r="O15" s="79">
        <f t="shared" si="3"/>
        <v>2305904.7760700979</v>
      </c>
      <c r="P15" s="79">
        <f t="shared" si="3"/>
        <v>2305904.7760700979</v>
      </c>
      <c r="Q15" s="79">
        <f t="shared" si="3"/>
        <v>2305904.7760700979</v>
      </c>
      <c r="R15" s="79">
        <f t="shared" si="3"/>
        <v>2305904.7760700979</v>
      </c>
      <c r="S15" s="79">
        <f t="shared" si="3"/>
        <v>2305904.7760700979</v>
      </c>
      <c r="T15" s="79">
        <f t="shared" si="3"/>
        <v>2305904.7760700979</v>
      </c>
      <c r="U15" s="79">
        <f t="shared" si="3"/>
        <v>2305904.7760700979</v>
      </c>
      <c r="V15" s="79">
        <f t="shared" si="3"/>
        <v>2305904.7760700979</v>
      </c>
      <c r="W15" s="79">
        <f t="shared" si="3"/>
        <v>2305904.7760700979</v>
      </c>
      <c r="X15" s="79">
        <f t="shared" si="4"/>
        <v>2305904.7760700979</v>
      </c>
      <c r="Y15" s="79">
        <f t="shared" si="4"/>
        <v>2305904.7760700979</v>
      </c>
      <c r="Z15" s="79">
        <f t="shared" si="4"/>
        <v>2305904.7760700979</v>
      </c>
      <c r="AA15" s="79">
        <f t="shared" si="4"/>
        <v>2305904.7760700979</v>
      </c>
      <c r="AB15" s="79">
        <f t="shared" si="4"/>
        <v>2305904.7760700979</v>
      </c>
      <c r="AC15" s="79">
        <f t="shared" si="4"/>
        <v>2305904.7760700979</v>
      </c>
      <c r="AD15" s="79">
        <f t="shared" si="4"/>
        <v>2305904.7760700979</v>
      </c>
      <c r="AE15" s="79">
        <f t="shared" si="4"/>
        <v>2305904.7760700979</v>
      </c>
      <c r="AF15" s="79">
        <f t="shared" si="4"/>
        <v>2305904.7760700979</v>
      </c>
      <c r="AG15" s="79">
        <f t="shared" si="4"/>
        <v>0</v>
      </c>
      <c r="AH15" s="79">
        <f t="shared" si="5"/>
        <v>0</v>
      </c>
      <c r="AI15" s="79">
        <f t="shared" si="5"/>
        <v>0</v>
      </c>
      <c r="AJ15" s="79">
        <f t="shared" si="5"/>
        <v>0</v>
      </c>
      <c r="AK15" s="79">
        <f t="shared" si="5"/>
        <v>0</v>
      </c>
      <c r="AL15" s="79">
        <f t="shared" si="5"/>
        <v>0</v>
      </c>
    </row>
    <row r="16" spans="1:38" x14ac:dyDescent="0.25">
      <c r="A16" s="2">
        <f t="shared" si="0"/>
        <v>30</v>
      </c>
      <c r="B16" s="32">
        <v>5</v>
      </c>
      <c r="C16" s="78">
        <f>-HLOOKUP(B16,'DemFin Proj'!$E$51:$O$58,7,FALSE)</f>
        <v>62220294.867905438</v>
      </c>
      <c r="D16" s="79">
        <f t="shared" si="2"/>
        <v>0</v>
      </c>
      <c r="E16" s="79">
        <f t="shared" si="2"/>
        <v>0</v>
      </c>
      <c r="F16" s="79">
        <f t="shared" si="2"/>
        <v>0</v>
      </c>
      <c r="G16" s="79">
        <f t="shared" si="2"/>
        <v>0</v>
      </c>
      <c r="H16" s="79">
        <f t="shared" si="2"/>
        <v>0</v>
      </c>
      <c r="I16" s="79">
        <f t="shared" si="2"/>
        <v>2488811.7947162176</v>
      </c>
      <c r="J16" s="79">
        <f t="shared" si="2"/>
        <v>2488811.7947162176</v>
      </c>
      <c r="K16" s="79">
        <f t="shared" si="2"/>
        <v>2488811.7947162176</v>
      </c>
      <c r="L16" s="79">
        <f t="shared" si="2"/>
        <v>2488811.7947162176</v>
      </c>
      <c r="M16" s="79">
        <f t="shared" si="2"/>
        <v>2488811.7947162176</v>
      </c>
      <c r="N16" s="79">
        <f t="shared" si="3"/>
        <v>2488811.7947162176</v>
      </c>
      <c r="O16" s="79">
        <f t="shared" si="3"/>
        <v>2488811.7947162176</v>
      </c>
      <c r="P16" s="79">
        <f t="shared" si="3"/>
        <v>2488811.7947162176</v>
      </c>
      <c r="Q16" s="79">
        <f t="shared" si="3"/>
        <v>2488811.7947162176</v>
      </c>
      <c r="R16" s="79">
        <f t="shared" si="3"/>
        <v>2488811.7947162176</v>
      </c>
      <c r="S16" s="79">
        <f t="shared" si="3"/>
        <v>2488811.7947162176</v>
      </c>
      <c r="T16" s="79">
        <f t="shared" si="3"/>
        <v>2488811.7947162176</v>
      </c>
      <c r="U16" s="79">
        <f t="shared" si="3"/>
        <v>2488811.7947162176</v>
      </c>
      <c r="V16" s="79">
        <f t="shared" si="3"/>
        <v>2488811.7947162176</v>
      </c>
      <c r="W16" s="79">
        <f t="shared" si="3"/>
        <v>2488811.7947162176</v>
      </c>
      <c r="X16" s="79">
        <f t="shared" si="4"/>
        <v>2488811.7947162176</v>
      </c>
      <c r="Y16" s="79">
        <f t="shared" si="4"/>
        <v>2488811.7947162176</v>
      </c>
      <c r="Z16" s="79">
        <f t="shared" si="4"/>
        <v>2488811.7947162176</v>
      </c>
      <c r="AA16" s="79">
        <f t="shared" si="4"/>
        <v>2488811.7947162176</v>
      </c>
      <c r="AB16" s="79">
        <f t="shared" si="4"/>
        <v>2488811.7947162176</v>
      </c>
      <c r="AC16" s="79">
        <f t="shared" si="4"/>
        <v>2488811.7947162176</v>
      </c>
      <c r="AD16" s="79">
        <f t="shared" si="4"/>
        <v>2488811.7947162176</v>
      </c>
      <c r="AE16" s="79">
        <f t="shared" si="4"/>
        <v>2488811.7947162176</v>
      </c>
      <c r="AF16" s="79">
        <f t="shared" si="4"/>
        <v>2488811.7947162176</v>
      </c>
      <c r="AG16" s="79">
        <f t="shared" si="4"/>
        <v>2488811.7947162176</v>
      </c>
      <c r="AH16" s="79">
        <f t="shared" si="5"/>
        <v>0</v>
      </c>
      <c r="AI16" s="79">
        <f t="shared" si="5"/>
        <v>0</v>
      </c>
      <c r="AJ16" s="79">
        <f t="shared" si="5"/>
        <v>0</v>
      </c>
      <c r="AK16" s="79">
        <f t="shared" si="5"/>
        <v>0</v>
      </c>
      <c r="AL16" s="79">
        <f t="shared" si="5"/>
        <v>0</v>
      </c>
    </row>
    <row r="17" spans="1:38" x14ac:dyDescent="0.25">
      <c r="A17" s="2">
        <f t="shared" si="0"/>
        <v>31</v>
      </c>
      <c r="B17" s="32">
        <v>6</v>
      </c>
      <c r="C17" s="78">
        <f>-HLOOKUP(B17,'DemFin Proj'!$E$51:$O$58,7,FALSE)</f>
        <v>7558596.0949078659</v>
      </c>
      <c r="D17" s="79">
        <f t="shared" si="2"/>
        <v>0</v>
      </c>
      <c r="E17" s="79">
        <f t="shared" si="2"/>
        <v>0</v>
      </c>
      <c r="F17" s="79">
        <f t="shared" si="2"/>
        <v>0</v>
      </c>
      <c r="G17" s="79">
        <f t="shared" si="2"/>
        <v>0</v>
      </c>
      <c r="H17" s="79">
        <f t="shared" si="2"/>
        <v>0</v>
      </c>
      <c r="I17" s="79">
        <f t="shared" si="2"/>
        <v>0</v>
      </c>
      <c r="J17" s="79">
        <f t="shared" si="2"/>
        <v>302343.84379631461</v>
      </c>
      <c r="K17" s="79">
        <f t="shared" si="2"/>
        <v>302343.84379631461</v>
      </c>
      <c r="L17" s="79">
        <f t="shared" si="2"/>
        <v>302343.84379631461</v>
      </c>
      <c r="M17" s="79">
        <f t="shared" si="2"/>
        <v>302343.84379631461</v>
      </c>
      <c r="N17" s="79">
        <f t="shared" si="3"/>
        <v>302343.84379631461</v>
      </c>
      <c r="O17" s="79">
        <f t="shared" si="3"/>
        <v>302343.84379631461</v>
      </c>
      <c r="P17" s="79">
        <f t="shared" si="3"/>
        <v>302343.84379631461</v>
      </c>
      <c r="Q17" s="79">
        <f t="shared" si="3"/>
        <v>302343.84379631461</v>
      </c>
      <c r="R17" s="79">
        <f t="shared" si="3"/>
        <v>302343.84379631461</v>
      </c>
      <c r="S17" s="79">
        <f t="shared" si="3"/>
        <v>302343.84379631461</v>
      </c>
      <c r="T17" s="79">
        <f t="shared" si="3"/>
        <v>302343.84379631461</v>
      </c>
      <c r="U17" s="79">
        <f t="shared" si="3"/>
        <v>302343.84379631461</v>
      </c>
      <c r="V17" s="79">
        <f t="shared" si="3"/>
        <v>302343.84379631461</v>
      </c>
      <c r="W17" s="79">
        <f t="shared" si="3"/>
        <v>302343.84379631461</v>
      </c>
      <c r="X17" s="79">
        <f t="shared" si="4"/>
        <v>302343.84379631461</v>
      </c>
      <c r="Y17" s="79">
        <f t="shared" si="4"/>
        <v>302343.84379631461</v>
      </c>
      <c r="Z17" s="79">
        <f t="shared" si="4"/>
        <v>302343.84379631461</v>
      </c>
      <c r="AA17" s="79">
        <f t="shared" si="4"/>
        <v>302343.84379631461</v>
      </c>
      <c r="AB17" s="79">
        <f t="shared" si="4"/>
        <v>302343.84379631461</v>
      </c>
      <c r="AC17" s="79">
        <f t="shared" si="4"/>
        <v>302343.84379631461</v>
      </c>
      <c r="AD17" s="79">
        <f t="shared" si="4"/>
        <v>302343.84379631461</v>
      </c>
      <c r="AE17" s="79">
        <f t="shared" si="4"/>
        <v>302343.84379631461</v>
      </c>
      <c r="AF17" s="79">
        <f t="shared" si="4"/>
        <v>302343.84379631461</v>
      </c>
      <c r="AG17" s="79">
        <f t="shared" si="4"/>
        <v>302343.84379631461</v>
      </c>
      <c r="AH17" s="79">
        <f t="shared" si="5"/>
        <v>302343.84379631461</v>
      </c>
      <c r="AI17" s="79">
        <f t="shared" si="5"/>
        <v>0</v>
      </c>
      <c r="AJ17" s="79">
        <f t="shared" si="5"/>
        <v>0</v>
      </c>
      <c r="AK17" s="79">
        <f t="shared" si="5"/>
        <v>0</v>
      </c>
      <c r="AL17" s="79">
        <f t="shared" si="5"/>
        <v>0</v>
      </c>
    </row>
    <row r="18" spans="1:38" x14ac:dyDescent="0.25">
      <c r="A18" s="2">
        <f t="shared" si="0"/>
        <v>32</v>
      </c>
      <c r="B18" s="32">
        <v>7</v>
      </c>
      <c r="C18" s="78">
        <f>-HLOOKUP(B18,'DemFin Proj'!$E$51:$O$58,7,FALSE)</f>
        <v>0</v>
      </c>
      <c r="D18" s="79">
        <f t="shared" si="2"/>
        <v>0</v>
      </c>
      <c r="E18" s="79">
        <f t="shared" si="2"/>
        <v>0</v>
      </c>
      <c r="F18" s="79">
        <f t="shared" si="2"/>
        <v>0</v>
      </c>
      <c r="G18" s="79">
        <f t="shared" si="2"/>
        <v>0</v>
      </c>
      <c r="H18" s="79">
        <f t="shared" si="2"/>
        <v>0</v>
      </c>
      <c r="I18" s="79">
        <f t="shared" si="2"/>
        <v>0</v>
      </c>
      <c r="J18" s="79">
        <f t="shared" si="2"/>
        <v>0</v>
      </c>
      <c r="K18" s="79">
        <f t="shared" si="2"/>
        <v>0</v>
      </c>
      <c r="L18" s="79">
        <f t="shared" si="2"/>
        <v>0</v>
      </c>
      <c r="M18" s="79">
        <f t="shared" si="2"/>
        <v>0</v>
      </c>
      <c r="N18" s="79">
        <f t="shared" si="3"/>
        <v>0</v>
      </c>
      <c r="O18" s="79">
        <f t="shared" si="3"/>
        <v>0</v>
      </c>
      <c r="P18" s="79">
        <f t="shared" si="3"/>
        <v>0</v>
      </c>
      <c r="Q18" s="79">
        <f t="shared" si="3"/>
        <v>0</v>
      </c>
      <c r="R18" s="79">
        <f t="shared" si="3"/>
        <v>0</v>
      </c>
      <c r="S18" s="79">
        <f t="shared" si="3"/>
        <v>0</v>
      </c>
      <c r="T18" s="79">
        <f t="shared" si="3"/>
        <v>0</v>
      </c>
      <c r="U18" s="79">
        <f t="shared" si="3"/>
        <v>0</v>
      </c>
      <c r="V18" s="79">
        <f t="shared" si="3"/>
        <v>0</v>
      </c>
      <c r="W18" s="79">
        <f t="shared" si="3"/>
        <v>0</v>
      </c>
      <c r="X18" s="79">
        <f t="shared" si="4"/>
        <v>0</v>
      </c>
      <c r="Y18" s="79">
        <f t="shared" si="4"/>
        <v>0</v>
      </c>
      <c r="Z18" s="79">
        <f t="shared" si="4"/>
        <v>0</v>
      </c>
      <c r="AA18" s="79">
        <f t="shared" si="4"/>
        <v>0</v>
      </c>
      <c r="AB18" s="79">
        <f t="shared" si="4"/>
        <v>0</v>
      </c>
      <c r="AC18" s="79">
        <f t="shared" si="4"/>
        <v>0</v>
      </c>
      <c r="AD18" s="79">
        <f t="shared" si="4"/>
        <v>0</v>
      </c>
      <c r="AE18" s="79">
        <f t="shared" si="4"/>
        <v>0</v>
      </c>
      <c r="AF18" s="79">
        <f t="shared" si="4"/>
        <v>0</v>
      </c>
      <c r="AG18" s="79">
        <f t="shared" si="4"/>
        <v>0</v>
      </c>
      <c r="AH18" s="79">
        <f t="shared" si="5"/>
        <v>0</v>
      </c>
      <c r="AI18" s="79">
        <f t="shared" si="5"/>
        <v>0</v>
      </c>
      <c r="AJ18" s="79">
        <f t="shared" si="5"/>
        <v>0</v>
      </c>
      <c r="AK18" s="79">
        <f t="shared" si="5"/>
        <v>0</v>
      </c>
      <c r="AL18" s="79">
        <f t="shared" si="5"/>
        <v>0</v>
      </c>
    </row>
    <row r="19" spans="1:38" x14ac:dyDescent="0.25">
      <c r="A19" s="2">
        <f t="shared" si="0"/>
        <v>33</v>
      </c>
      <c r="B19" s="32">
        <v>8</v>
      </c>
      <c r="C19" s="78">
        <f>-HLOOKUP(B19,'DemFin Proj'!$E$51:$O$58,7,FALSE)</f>
        <v>0</v>
      </c>
      <c r="D19" s="79">
        <f t="shared" si="2"/>
        <v>0</v>
      </c>
      <c r="E19" s="79">
        <f t="shared" si="2"/>
        <v>0</v>
      </c>
      <c r="F19" s="79">
        <f t="shared" si="2"/>
        <v>0</v>
      </c>
      <c r="G19" s="79">
        <f t="shared" si="2"/>
        <v>0</v>
      </c>
      <c r="H19" s="79">
        <f t="shared" si="2"/>
        <v>0</v>
      </c>
      <c r="I19" s="79">
        <f t="shared" si="2"/>
        <v>0</v>
      </c>
      <c r="J19" s="79">
        <f t="shared" si="2"/>
        <v>0</v>
      </c>
      <c r="K19" s="79">
        <f t="shared" si="2"/>
        <v>0</v>
      </c>
      <c r="L19" s="79">
        <f t="shared" si="2"/>
        <v>0</v>
      </c>
      <c r="M19" s="79">
        <f t="shared" si="2"/>
        <v>0</v>
      </c>
      <c r="N19" s="79">
        <f t="shared" si="3"/>
        <v>0</v>
      </c>
      <c r="O19" s="79">
        <f t="shared" si="3"/>
        <v>0</v>
      </c>
      <c r="P19" s="79">
        <f t="shared" si="3"/>
        <v>0</v>
      </c>
      <c r="Q19" s="79">
        <f t="shared" si="3"/>
        <v>0</v>
      </c>
      <c r="R19" s="79">
        <f t="shared" si="3"/>
        <v>0</v>
      </c>
      <c r="S19" s="79">
        <f t="shared" si="3"/>
        <v>0</v>
      </c>
      <c r="T19" s="79">
        <f t="shared" si="3"/>
        <v>0</v>
      </c>
      <c r="U19" s="79">
        <f t="shared" si="3"/>
        <v>0</v>
      </c>
      <c r="V19" s="79">
        <f t="shared" si="3"/>
        <v>0</v>
      </c>
      <c r="W19" s="79">
        <f t="shared" si="3"/>
        <v>0</v>
      </c>
      <c r="X19" s="79">
        <f t="shared" si="4"/>
        <v>0</v>
      </c>
      <c r="Y19" s="79">
        <f t="shared" si="4"/>
        <v>0</v>
      </c>
      <c r="Z19" s="79">
        <f t="shared" si="4"/>
        <v>0</v>
      </c>
      <c r="AA19" s="79">
        <f t="shared" si="4"/>
        <v>0</v>
      </c>
      <c r="AB19" s="79">
        <f t="shared" si="4"/>
        <v>0</v>
      </c>
      <c r="AC19" s="79">
        <f t="shared" si="4"/>
        <v>0</v>
      </c>
      <c r="AD19" s="79">
        <f t="shared" si="4"/>
        <v>0</v>
      </c>
      <c r="AE19" s="79">
        <f t="shared" si="4"/>
        <v>0</v>
      </c>
      <c r="AF19" s="79">
        <f t="shared" si="4"/>
        <v>0</v>
      </c>
      <c r="AG19" s="79">
        <f t="shared" si="4"/>
        <v>0</v>
      </c>
      <c r="AH19" s="79">
        <f t="shared" si="5"/>
        <v>0</v>
      </c>
      <c r="AI19" s="79">
        <f t="shared" si="5"/>
        <v>0</v>
      </c>
      <c r="AJ19" s="79">
        <f t="shared" si="5"/>
        <v>0</v>
      </c>
      <c r="AK19" s="79">
        <f t="shared" si="5"/>
        <v>0</v>
      </c>
      <c r="AL19" s="79">
        <f t="shared" si="5"/>
        <v>0</v>
      </c>
    </row>
    <row r="20" spans="1:38" x14ac:dyDescent="0.25">
      <c r="A20" s="2">
        <f t="shared" si="0"/>
        <v>34</v>
      </c>
      <c r="B20" s="32">
        <v>9</v>
      </c>
      <c r="C20" s="78">
        <f>-HLOOKUP(B20,'DemFin Proj'!$E$51:$O$58,7,FALSE)</f>
        <v>0</v>
      </c>
      <c r="D20" s="79">
        <f t="shared" si="2"/>
        <v>0</v>
      </c>
      <c r="E20" s="79">
        <f t="shared" si="2"/>
        <v>0</v>
      </c>
      <c r="F20" s="79">
        <f t="shared" si="2"/>
        <v>0</v>
      </c>
      <c r="G20" s="79">
        <f t="shared" si="2"/>
        <v>0</v>
      </c>
      <c r="H20" s="79">
        <f t="shared" si="2"/>
        <v>0</v>
      </c>
      <c r="I20" s="79">
        <f t="shared" si="2"/>
        <v>0</v>
      </c>
      <c r="J20" s="79">
        <f t="shared" si="2"/>
        <v>0</v>
      </c>
      <c r="K20" s="79">
        <f t="shared" si="2"/>
        <v>0</v>
      </c>
      <c r="L20" s="79">
        <f t="shared" si="2"/>
        <v>0</v>
      </c>
      <c r="M20" s="79">
        <f t="shared" si="2"/>
        <v>0</v>
      </c>
      <c r="N20" s="79">
        <f t="shared" si="3"/>
        <v>0</v>
      </c>
      <c r="O20" s="79">
        <f t="shared" si="3"/>
        <v>0</v>
      </c>
      <c r="P20" s="79">
        <f t="shared" si="3"/>
        <v>0</v>
      </c>
      <c r="Q20" s="79">
        <f t="shared" si="3"/>
        <v>0</v>
      </c>
      <c r="R20" s="79">
        <f t="shared" si="3"/>
        <v>0</v>
      </c>
      <c r="S20" s="79">
        <f t="shared" si="3"/>
        <v>0</v>
      </c>
      <c r="T20" s="79">
        <f t="shared" si="3"/>
        <v>0</v>
      </c>
      <c r="U20" s="79">
        <f t="shared" si="3"/>
        <v>0</v>
      </c>
      <c r="V20" s="79">
        <f t="shared" si="3"/>
        <v>0</v>
      </c>
      <c r="W20" s="79">
        <f t="shared" si="3"/>
        <v>0</v>
      </c>
      <c r="X20" s="79">
        <f t="shared" si="4"/>
        <v>0</v>
      </c>
      <c r="Y20" s="79">
        <f t="shared" si="4"/>
        <v>0</v>
      </c>
      <c r="Z20" s="79">
        <f t="shared" si="4"/>
        <v>0</v>
      </c>
      <c r="AA20" s="79">
        <f t="shared" si="4"/>
        <v>0</v>
      </c>
      <c r="AB20" s="79">
        <f t="shared" si="4"/>
        <v>0</v>
      </c>
      <c r="AC20" s="79">
        <f t="shared" si="4"/>
        <v>0</v>
      </c>
      <c r="AD20" s="79">
        <f t="shared" si="4"/>
        <v>0</v>
      </c>
      <c r="AE20" s="79">
        <f t="shared" si="4"/>
        <v>0</v>
      </c>
      <c r="AF20" s="79">
        <f t="shared" si="4"/>
        <v>0</v>
      </c>
      <c r="AG20" s="79">
        <f t="shared" si="4"/>
        <v>0</v>
      </c>
      <c r="AH20" s="79">
        <f t="shared" si="5"/>
        <v>0</v>
      </c>
      <c r="AI20" s="79">
        <f t="shared" si="5"/>
        <v>0</v>
      </c>
      <c r="AJ20" s="79">
        <f t="shared" si="5"/>
        <v>0</v>
      </c>
      <c r="AK20" s="79">
        <f t="shared" si="5"/>
        <v>0</v>
      </c>
      <c r="AL20" s="79">
        <f t="shared" si="5"/>
        <v>0</v>
      </c>
    </row>
    <row r="21" spans="1:38" x14ac:dyDescent="0.25">
      <c r="A21" s="2">
        <f t="shared" si="0"/>
        <v>35</v>
      </c>
      <c r="B21" s="32">
        <v>10</v>
      </c>
      <c r="C21" s="78">
        <f>-HLOOKUP(B21,'DemFin Proj'!$E$51:$O$58,7,FALSE)</f>
        <v>0</v>
      </c>
      <c r="D21" s="79">
        <f t="shared" si="2"/>
        <v>0</v>
      </c>
      <c r="E21" s="79">
        <f t="shared" si="2"/>
        <v>0</v>
      </c>
      <c r="F21" s="79">
        <f t="shared" si="2"/>
        <v>0</v>
      </c>
      <c r="G21" s="79">
        <f t="shared" si="2"/>
        <v>0</v>
      </c>
      <c r="H21" s="79">
        <f t="shared" si="2"/>
        <v>0</v>
      </c>
      <c r="I21" s="79">
        <f t="shared" si="2"/>
        <v>0</v>
      </c>
      <c r="J21" s="79">
        <f t="shared" si="2"/>
        <v>0</v>
      </c>
      <c r="K21" s="79">
        <f t="shared" si="2"/>
        <v>0</v>
      </c>
      <c r="L21" s="79">
        <f t="shared" si="2"/>
        <v>0</v>
      </c>
      <c r="M21" s="79">
        <f t="shared" si="2"/>
        <v>0</v>
      </c>
      <c r="N21" s="79">
        <f t="shared" si="3"/>
        <v>0</v>
      </c>
      <c r="O21" s="79">
        <f t="shared" si="3"/>
        <v>0</v>
      </c>
      <c r="P21" s="79">
        <f t="shared" si="3"/>
        <v>0</v>
      </c>
      <c r="Q21" s="79">
        <f t="shared" si="3"/>
        <v>0</v>
      </c>
      <c r="R21" s="79">
        <f t="shared" si="3"/>
        <v>0</v>
      </c>
      <c r="S21" s="79">
        <f t="shared" si="3"/>
        <v>0</v>
      </c>
      <c r="T21" s="79">
        <f t="shared" si="3"/>
        <v>0</v>
      </c>
      <c r="U21" s="79">
        <f t="shared" si="3"/>
        <v>0</v>
      </c>
      <c r="V21" s="79">
        <f t="shared" si="3"/>
        <v>0</v>
      </c>
      <c r="W21" s="79">
        <f t="shared" si="3"/>
        <v>0</v>
      </c>
      <c r="X21" s="79">
        <f t="shared" si="4"/>
        <v>0</v>
      </c>
      <c r="Y21" s="79">
        <f t="shared" si="4"/>
        <v>0</v>
      </c>
      <c r="Z21" s="79">
        <f t="shared" si="4"/>
        <v>0</v>
      </c>
      <c r="AA21" s="79">
        <f t="shared" si="4"/>
        <v>0</v>
      </c>
      <c r="AB21" s="79">
        <f t="shared" si="4"/>
        <v>0</v>
      </c>
      <c r="AC21" s="79">
        <f t="shared" si="4"/>
        <v>0</v>
      </c>
      <c r="AD21" s="79">
        <f t="shared" si="4"/>
        <v>0</v>
      </c>
      <c r="AE21" s="79">
        <f t="shared" si="4"/>
        <v>0</v>
      </c>
      <c r="AF21" s="79">
        <f t="shared" si="4"/>
        <v>0</v>
      </c>
      <c r="AG21" s="79">
        <f t="shared" si="4"/>
        <v>0</v>
      </c>
      <c r="AH21" s="79">
        <f t="shared" si="5"/>
        <v>0</v>
      </c>
      <c r="AI21" s="79">
        <f t="shared" si="5"/>
        <v>0</v>
      </c>
      <c r="AJ21" s="79">
        <f t="shared" si="5"/>
        <v>0</v>
      </c>
      <c r="AK21" s="79">
        <f t="shared" si="5"/>
        <v>0</v>
      </c>
      <c r="AL21" s="79">
        <f t="shared" si="5"/>
        <v>0</v>
      </c>
    </row>
    <row r="22" spans="1:38" x14ac:dyDescent="0.25">
      <c r="A22" s="2">
        <f t="shared" si="0"/>
        <v>35</v>
      </c>
      <c r="B22" s="32">
        <v>11</v>
      </c>
      <c r="C22" s="78"/>
      <c r="D22" s="79">
        <f t="shared" si="2"/>
        <v>0</v>
      </c>
      <c r="E22" s="79">
        <f t="shared" si="2"/>
        <v>0</v>
      </c>
      <c r="F22" s="79">
        <f t="shared" si="2"/>
        <v>0</v>
      </c>
      <c r="G22" s="79">
        <f t="shared" si="2"/>
        <v>0</v>
      </c>
      <c r="H22" s="79">
        <f t="shared" si="2"/>
        <v>0</v>
      </c>
      <c r="I22" s="79">
        <f t="shared" si="2"/>
        <v>0</v>
      </c>
      <c r="J22" s="79">
        <f t="shared" si="2"/>
        <v>0</v>
      </c>
      <c r="K22" s="79">
        <f t="shared" si="2"/>
        <v>0</v>
      </c>
      <c r="L22" s="79">
        <f t="shared" si="2"/>
        <v>0</v>
      </c>
      <c r="M22" s="79">
        <f t="shared" si="2"/>
        <v>0</v>
      </c>
      <c r="N22" s="79">
        <f t="shared" si="3"/>
        <v>0</v>
      </c>
      <c r="O22" s="79">
        <f t="shared" si="3"/>
        <v>0</v>
      </c>
      <c r="P22" s="79">
        <f t="shared" si="3"/>
        <v>0</v>
      </c>
      <c r="Q22" s="79">
        <f t="shared" si="3"/>
        <v>0</v>
      </c>
      <c r="R22" s="79">
        <f t="shared" si="3"/>
        <v>0</v>
      </c>
      <c r="S22" s="79">
        <f t="shared" si="3"/>
        <v>0</v>
      </c>
      <c r="T22" s="79">
        <f t="shared" si="3"/>
        <v>0</v>
      </c>
      <c r="U22" s="79">
        <f t="shared" si="3"/>
        <v>0</v>
      </c>
      <c r="V22" s="79">
        <f t="shared" si="3"/>
        <v>0</v>
      </c>
      <c r="W22" s="79">
        <f t="shared" si="3"/>
        <v>0</v>
      </c>
      <c r="X22" s="79">
        <f t="shared" si="4"/>
        <v>0</v>
      </c>
      <c r="Y22" s="79">
        <f t="shared" si="4"/>
        <v>0</v>
      </c>
      <c r="Z22" s="79">
        <f t="shared" si="4"/>
        <v>0</v>
      </c>
      <c r="AA22" s="79">
        <f t="shared" si="4"/>
        <v>0</v>
      </c>
      <c r="AB22" s="79">
        <f t="shared" si="4"/>
        <v>0</v>
      </c>
      <c r="AC22" s="79">
        <f t="shared" si="4"/>
        <v>0</v>
      </c>
      <c r="AD22" s="79">
        <f t="shared" si="4"/>
        <v>0</v>
      </c>
      <c r="AE22" s="79">
        <f t="shared" si="4"/>
        <v>0</v>
      </c>
      <c r="AF22" s="79">
        <f t="shared" si="4"/>
        <v>0</v>
      </c>
      <c r="AG22" s="79">
        <f t="shared" si="4"/>
        <v>0</v>
      </c>
      <c r="AH22" s="79">
        <f t="shared" si="5"/>
        <v>0</v>
      </c>
      <c r="AI22" s="79">
        <f t="shared" si="5"/>
        <v>0</v>
      </c>
      <c r="AJ22" s="79">
        <f t="shared" si="5"/>
        <v>0</v>
      </c>
      <c r="AK22" s="79">
        <f t="shared" si="5"/>
        <v>0</v>
      </c>
      <c r="AL22" s="79">
        <f t="shared" si="5"/>
        <v>0</v>
      </c>
    </row>
    <row r="23" spans="1:38" x14ac:dyDescent="0.25">
      <c r="A23" s="2">
        <f t="shared" si="0"/>
        <v>35</v>
      </c>
      <c r="B23" s="32">
        <v>12</v>
      </c>
      <c r="C23" s="78"/>
      <c r="D23" s="79">
        <f t="shared" ref="D23:M32" si="6">IF(OR(D$11&lt;=$B23,D$11&gt;($B23+$F$9)),0,$C23/$F$9)</f>
        <v>0</v>
      </c>
      <c r="E23" s="79">
        <f t="shared" si="6"/>
        <v>0</v>
      </c>
      <c r="F23" s="79">
        <f t="shared" si="6"/>
        <v>0</v>
      </c>
      <c r="G23" s="79">
        <f t="shared" si="6"/>
        <v>0</v>
      </c>
      <c r="H23" s="79">
        <f t="shared" si="6"/>
        <v>0</v>
      </c>
      <c r="I23" s="79">
        <f t="shared" si="6"/>
        <v>0</v>
      </c>
      <c r="J23" s="79">
        <f t="shared" si="6"/>
        <v>0</v>
      </c>
      <c r="K23" s="79">
        <f t="shared" si="6"/>
        <v>0</v>
      </c>
      <c r="L23" s="79">
        <f t="shared" si="6"/>
        <v>0</v>
      </c>
      <c r="M23" s="79">
        <f t="shared" si="6"/>
        <v>0</v>
      </c>
      <c r="N23" s="79">
        <f t="shared" ref="N23:W32" si="7">IF(OR(N$11&lt;=$B23,N$11&gt;($B23+$F$9)),0,$C23/$F$9)</f>
        <v>0</v>
      </c>
      <c r="O23" s="79">
        <f t="shared" si="7"/>
        <v>0</v>
      </c>
      <c r="P23" s="79">
        <f t="shared" si="7"/>
        <v>0</v>
      </c>
      <c r="Q23" s="79">
        <f t="shared" si="7"/>
        <v>0</v>
      </c>
      <c r="R23" s="79">
        <f t="shared" si="7"/>
        <v>0</v>
      </c>
      <c r="S23" s="79">
        <f t="shared" si="7"/>
        <v>0</v>
      </c>
      <c r="T23" s="79">
        <f t="shared" si="7"/>
        <v>0</v>
      </c>
      <c r="U23" s="79">
        <f t="shared" si="7"/>
        <v>0</v>
      </c>
      <c r="V23" s="79">
        <f t="shared" si="7"/>
        <v>0</v>
      </c>
      <c r="W23" s="79">
        <f t="shared" si="7"/>
        <v>0</v>
      </c>
      <c r="X23" s="79">
        <f t="shared" ref="X23:AG32" si="8">IF(OR(X$11&lt;=$B23,X$11&gt;($B23+$F$9)),0,$C23/$F$9)</f>
        <v>0</v>
      </c>
      <c r="Y23" s="79">
        <f t="shared" si="8"/>
        <v>0</v>
      </c>
      <c r="Z23" s="79">
        <f t="shared" si="8"/>
        <v>0</v>
      </c>
      <c r="AA23" s="79">
        <f t="shared" si="8"/>
        <v>0</v>
      </c>
      <c r="AB23" s="79">
        <f t="shared" si="8"/>
        <v>0</v>
      </c>
      <c r="AC23" s="79">
        <f t="shared" si="8"/>
        <v>0</v>
      </c>
      <c r="AD23" s="79">
        <f t="shared" si="8"/>
        <v>0</v>
      </c>
      <c r="AE23" s="79">
        <f t="shared" si="8"/>
        <v>0</v>
      </c>
      <c r="AF23" s="79">
        <f t="shared" si="8"/>
        <v>0</v>
      </c>
      <c r="AG23" s="79">
        <f t="shared" si="8"/>
        <v>0</v>
      </c>
      <c r="AH23" s="79">
        <f t="shared" ref="AH23:AL32" si="9">IF(OR(AH$11&lt;=$B23,AH$11&gt;($B23+$F$9)),0,$C23/($A23-$B23))</f>
        <v>0</v>
      </c>
      <c r="AI23" s="79">
        <f t="shared" si="9"/>
        <v>0</v>
      </c>
      <c r="AJ23" s="79">
        <f t="shared" si="9"/>
        <v>0</v>
      </c>
      <c r="AK23" s="79">
        <f t="shared" si="9"/>
        <v>0</v>
      </c>
      <c r="AL23" s="79">
        <f t="shared" si="9"/>
        <v>0</v>
      </c>
    </row>
    <row r="24" spans="1:38" x14ac:dyDescent="0.25">
      <c r="A24" s="2">
        <f t="shared" si="0"/>
        <v>35</v>
      </c>
      <c r="B24" s="32">
        <v>13</v>
      </c>
      <c r="C24" s="78"/>
      <c r="D24" s="79">
        <f t="shared" si="6"/>
        <v>0</v>
      </c>
      <c r="E24" s="79">
        <f t="shared" si="6"/>
        <v>0</v>
      </c>
      <c r="F24" s="79">
        <f t="shared" si="6"/>
        <v>0</v>
      </c>
      <c r="G24" s="79">
        <f t="shared" si="6"/>
        <v>0</v>
      </c>
      <c r="H24" s="79">
        <f t="shared" si="6"/>
        <v>0</v>
      </c>
      <c r="I24" s="79">
        <f t="shared" si="6"/>
        <v>0</v>
      </c>
      <c r="J24" s="79">
        <f t="shared" si="6"/>
        <v>0</v>
      </c>
      <c r="K24" s="79">
        <f t="shared" si="6"/>
        <v>0</v>
      </c>
      <c r="L24" s="79">
        <f t="shared" si="6"/>
        <v>0</v>
      </c>
      <c r="M24" s="79">
        <f t="shared" si="6"/>
        <v>0</v>
      </c>
      <c r="N24" s="79">
        <f t="shared" si="7"/>
        <v>0</v>
      </c>
      <c r="O24" s="79">
        <f t="shared" si="7"/>
        <v>0</v>
      </c>
      <c r="P24" s="79">
        <f t="shared" si="7"/>
        <v>0</v>
      </c>
      <c r="Q24" s="79">
        <f t="shared" si="7"/>
        <v>0</v>
      </c>
      <c r="R24" s="79">
        <f t="shared" si="7"/>
        <v>0</v>
      </c>
      <c r="S24" s="79">
        <f t="shared" si="7"/>
        <v>0</v>
      </c>
      <c r="T24" s="79">
        <f t="shared" si="7"/>
        <v>0</v>
      </c>
      <c r="U24" s="79">
        <f t="shared" si="7"/>
        <v>0</v>
      </c>
      <c r="V24" s="79">
        <f t="shared" si="7"/>
        <v>0</v>
      </c>
      <c r="W24" s="79">
        <f t="shared" si="7"/>
        <v>0</v>
      </c>
      <c r="X24" s="79">
        <f t="shared" si="8"/>
        <v>0</v>
      </c>
      <c r="Y24" s="79">
        <f t="shared" si="8"/>
        <v>0</v>
      </c>
      <c r="Z24" s="79">
        <f t="shared" si="8"/>
        <v>0</v>
      </c>
      <c r="AA24" s="79">
        <f t="shared" si="8"/>
        <v>0</v>
      </c>
      <c r="AB24" s="79">
        <f t="shared" si="8"/>
        <v>0</v>
      </c>
      <c r="AC24" s="79">
        <f t="shared" si="8"/>
        <v>0</v>
      </c>
      <c r="AD24" s="79">
        <f t="shared" si="8"/>
        <v>0</v>
      </c>
      <c r="AE24" s="79">
        <f t="shared" si="8"/>
        <v>0</v>
      </c>
      <c r="AF24" s="79">
        <f t="shared" si="8"/>
        <v>0</v>
      </c>
      <c r="AG24" s="79">
        <f t="shared" si="8"/>
        <v>0</v>
      </c>
      <c r="AH24" s="79">
        <f t="shared" si="9"/>
        <v>0</v>
      </c>
      <c r="AI24" s="79">
        <f t="shared" si="9"/>
        <v>0</v>
      </c>
      <c r="AJ24" s="79">
        <f t="shared" si="9"/>
        <v>0</v>
      </c>
      <c r="AK24" s="79">
        <f t="shared" si="9"/>
        <v>0</v>
      </c>
      <c r="AL24" s="79">
        <f t="shared" si="9"/>
        <v>0</v>
      </c>
    </row>
    <row r="25" spans="1:38" x14ac:dyDescent="0.25">
      <c r="A25" s="2">
        <f t="shared" si="0"/>
        <v>35</v>
      </c>
      <c r="B25" s="32">
        <v>14</v>
      </c>
      <c r="C25" s="78"/>
      <c r="D25" s="79">
        <f t="shared" si="6"/>
        <v>0</v>
      </c>
      <c r="E25" s="79">
        <f t="shared" si="6"/>
        <v>0</v>
      </c>
      <c r="F25" s="79">
        <f t="shared" si="6"/>
        <v>0</v>
      </c>
      <c r="G25" s="79">
        <f t="shared" si="6"/>
        <v>0</v>
      </c>
      <c r="H25" s="79">
        <f t="shared" si="6"/>
        <v>0</v>
      </c>
      <c r="I25" s="79">
        <f t="shared" si="6"/>
        <v>0</v>
      </c>
      <c r="J25" s="79">
        <f t="shared" si="6"/>
        <v>0</v>
      </c>
      <c r="K25" s="79">
        <f t="shared" si="6"/>
        <v>0</v>
      </c>
      <c r="L25" s="79">
        <f t="shared" si="6"/>
        <v>0</v>
      </c>
      <c r="M25" s="79">
        <f t="shared" si="6"/>
        <v>0</v>
      </c>
      <c r="N25" s="79">
        <f t="shared" si="7"/>
        <v>0</v>
      </c>
      <c r="O25" s="79">
        <f t="shared" si="7"/>
        <v>0</v>
      </c>
      <c r="P25" s="79">
        <f t="shared" si="7"/>
        <v>0</v>
      </c>
      <c r="Q25" s="79">
        <f t="shared" si="7"/>
        <v>0</v>
      </c>
      <c r="R25" s="79">
        <f t="shared" si="7"/>
        <v>0</v>
      </c>
      <c r="S25" s="79">
        <f t="shared" si="7"/>
        <v>0</v>
      </c>
      <c r="T25" s="79">
        <f t="shared" si="7"/>
        <v>0</v>
      </c>
      <c r="U25" s="79">
        <f t="shared" si="7"/>
        <v>0</v>
      </c>
      <c r="V25" s="79">
        <f t="shared" si="7"/>
        <v>0</v>
      </c>
      <c r="W25" s="79">
        <f t="shared" si="7"/>
        <v>0</v>
      </c>
      <c r="X25" s="79">
        <f t="shared" si="8"/>
        <v>0</v>
      </c>
      <c r="Y25" s="79">
        <f t="shared" si="8"/>
        <v>0</v>
      </c>
      <c r="Z25" s="79">
        <f t="shared" si="8"/>
        <v>0</v>
      </c>
      <c r="AA25" s="79">
        <f t="shared" si="8"/>
        <v>0</v>
      </c>
      <c r="AB25" s="79">
        <f t="shared" si="8"/>
        <v>0</v>
      </c>
      <c r="AC25" s="79">
        <f t="shared" si="8"/>
        <v>0</v>
      </c>
      <c r="AD25" s="79">
        <f t="shared" si="8"/>
        <v>0</v>
      </c>
      <c r="AE25" s="79">
        <f t="shared" si="8"/>
        <v>0</v>
      </c>
      <c r="AF25" s="79">
        <f t="shared" si="8"/>
        <v>0</v>
      </c>
      <c r="AG25" s="79">
        <f t="shared" si="8"/>
        <v>0</v>
      </c>
      <c r="AH25" s="79">
        <f t="shared" si="9"/>
        <v>0</v>
      </c>
      <c r="AI25" s="79">
        <f t="shared" si="9"/>
        <v>0</v>
      </c>
      <c r="AJ25" s="79">
        <f t="shared" si="9"/>
        <v>0</v>
      </c>
      <c r="AK25" s="79">
        <f t="shared" si="9"/>
        <v>0</v>
      </c>
      <c r="AL25" s="79">
        <f t="shared" si="9"/>
        <v>0</v>
      </c>
    </row>
    <row r="26" spans="1:38" x14ac:dyDescent="0.25">
      <c r="A26" s="2">
        <f t="shared" si="0"/>
        <v>35</v>
      </c>
      <c r="B26" s="32">
        <v>15</v>
      </c>
      <c r="C26" s="78"/>
      <c r="D26" s="79">
        <f t="shared" si="6"/>
        <v>0</v>
      </c>
      <c r="E26" s="79">
        <f t="shared" si="6"/>
        <v>0</v>
      </c>
      <c r="F26" s="79">
        <f t="shared" si="6"/>
        <v>0</v>
      </c>
      <c r="G26" s="79">
        <f t="shared" si="6"/>
        <v>0</v>
      </c>
      <c r="H26" s="79">
        <f t="shared" si="6"/>
        <v>0</v>
      </c>
      <c r="I26" s="79">
        <f t="shared" si="6"/>
        <v>0</v>
      </c>
      <c r="J26" s="79">
        <f t="shared" si="6"/>
        <v>0</v>
      </c>
      <c r="K26" s="79">
        <f t="shared" si="6"/>
        <v>0</v>
      </c>
      <c r="L26" s="79">
        <f t="shared" si="6"/>
        <v>0</v>
      </c>
      <c r="M26" s="79">
        <f t="shared" si="6"/>
        <v>0</v>
      </c>
      <c r="N26" s="79">
        <f t="shared" si="7"/>
        <v>0</v>
      </c>
      <c r="O26" s="79">
        <f t="shared" si="7"/>
        <v>0</v>
      </c>
      <c r="P26" s="79">
        <f t="shared" si="7"/>
        <v>0</v>
      </c>
      <c r="Q26" s="79">
        <f t="shared" si="7"/>
        <v>0</v>
      </c>
      <c r="R26" s="79">
        <f t="shared" si="7"/>
        <v>0</v>
      </c>
      <c r="S26" s="79">
        <f t="shared" si="7"/>
        <v>0</v>
      </c>
      <c r="T26" s="79">
        <f t="shared" si="7"/>
        <v>0</v>
      </c>
      <c r="U26" s="79">
        <f t="shared" si="7"/>
        <v>0</v>
      </c>
      <c r="V26" s="79">
        <f t="shared" si="7"/>
        <v>0</v>
      </c>
      <c r="W26" s="79">
        <f t="shared" si="7"/>
        <v>0</v>
      </c>
      <c r="X26" s="79">
        <f t="shared" si="8"/>
        <v>0</v>
      </c>
      <c r="Y26" s="79">
        <f t="shared" si="8"/>
        <v>0</v>
      </c>
      <c r="Z26" s="79">
        <f t="shared" si="8"/>
        <v>0</v>
      </c>
      <c r="AA26" s="79">
        <f t="shared" si="8"/>
        <v>0</v>
      </c>
      <c r="AB26" s="79">
        <f t="shared" si="8"/>
        <v>0</v>
      </c>
      <c r="AC26" s="79">
        <f t="shared" si="8"/>
        <v>0</v>
      </c>
      <c r="AD26" s="79">
        <f t="shared" si="8"/>
        <v>0</v>
      </c>
      <c r="AE26" s="79">
        <f t="shared" si="8"/>
        <v>0</v>
      </c>
      <c r="AF26" s="79">
        <f t="shared" si="8"/>
        <v>0</v>
      </c>
      <c r="AG26" s="79">
        <f t="shared" si="8"/>
        <v>0</v>
      </c>
      <c r="AH26" s="79">
        <f t="shared" si="9"/>
        <v>0</v>
      </c>
      <c r="AI26" s="79">
        <f t="shared" si="9"/>
        <v>0</v>
      </c>
      <c r="AJ26" s="79">
        <f t="shared" si="9"/>
        <v>0</v>
      </c>
      <c r="AK26" s="79">
        <f t="shared" si="9"/>
        <v>0</v>
      </c>
      <c r="AL26" s="79">
        <f t="shared" si="9"/>
        <v>0</v>
      </c>
    </row>
    <row r="27" spans="1:38" x14ac:dyDescent="0.25">
      <c r="A27" s="2">
        <f t="shared" si="0"/>
        <v>35</v>
      </c>
      <c r="B27" s="32">
        <v>16</v>
      </c>
      <c r="C27" s="78"/>
      <c r="D27" s="79">
        <f t="shared" si="6"/>
        <v>0</v>
      </c>
      <c r="E27" s="79">
        <f t="shared" si="6"/>
        <v>0</v>
      </c>
      <c r="F27" s="79">
        <f t="shared" si="6"/>
        <v>0</v>
      </c>
      <c r="G27" s="79">
        <f t="shared" si="6"/>
        <v>0</v>
      </c>
      <c r="H27" s="79">
        <f t="shared" si="6"/>
        <v>0</v>
      </c>
      <c r="I27" s="79">
        <f t="shared" si="6"/>
        <v>0</v>
      </c>
      <c r="J27" s="79">
        <f t="shared" si="6"/>
        <v>0</v>
      </c>
      <c r="K27" s="79">
        <f t="shared" si="6"/>
        <v>0</v>
      </c>
      <c r="L27" s="79">
        <f t="shared" si="6"/>
        <v>0</v>
      </c>
      <c r="M27" s="79">
        <f t="shared" si="6"/>
        <v>0</v>
      </c>
      <c r="N27" s="79">
        <f t="shared" si="7"/>
        <v>0</v>
      </c>
      <c r="O27" s="79">
        <f t="shared" si="7"/>
        <v>0</v>
      </c>
      <c r="P27" s="79">
        <f t="shared" si="7"/>
        <v>0</v>
      </c>
      <c r="Q27" s="79">
        <f t="shared" si="7"/>
        <v>0</v>
      </c>
      <c r="R27" s="79">
        <f t="shared" si="7"/>
        <v>0</v>
      </c>
      <c r="S27" s="79">
        <f t="shared" si="7"/>
        <v>0</v>
      </c>
      <c r="T27" s="79">
        <f t="shared" si="7"/>
        <v>0</v>
      </c>
      <c r="U27" s="79">
        <f t="shared" si="7"/>
        <v>0</v>
      </c>
      <c r="V27" s="79">
        <f t="shared" si="7"/>
        <v>0</v>
      </c>
      <c r="W27" s="79">
        <f t="shared" si="7"/>
        <v>0</v>
      </c>
      <c r="X27" s="79">
        <f t="shared" si="8"/>
        <v>0</v>
      </c>
      <c r="Y27" s="79">
        <f t="shared" si="8"/>
        <v>0</v>
      </c>
      <c r="Z27" s="79">
        <f t="shared" si="8"/>
        <v>0</v>
      </c>
      <c r="AA27" s="79">
        <f t="shared" si="8"/>
        <v>0</v>
      </c>
      <c r="AB27" s="79">
        <f t="shared" si="8"/>
        <v>0</v>
      </c>
      <c r="AC27" s="79">
        <f t="shared" si="8"/>
        <v>0</v>
      </c>
      <c r="AD27" s="79">
        <f t="shared" si="8"/>
        <v>0</v>
      </c>
      <c r="AE27" s="79">
        <f t="shared" si="8"/>
        <v>0</v>
      </c>
      <c r="AF27" s="79">
        <f t="shared" si="8"/>
        <v>0</v>
      </c>
      <c r="AG27" s="79">
        <f t="shared" si="8"/>
        <v>0</v>
      </c>
      <c r="AH27" s="79">
        <f t="shared" si="9"/>
        <v>0</v>
      </c>
      <c r="AI27" s="79">
        <f t="shared" si="9"/>
        <v>0</v>
      </c>
      <c r="AJ27" s="79">
        <f t="shared" si="9"/>
        <v>0</v>
      </c>
      <c r="AK27" s="79">
        <f t="shared" si="9"/>
        <v>0</v>
      </c>
      <c r="AL27" s="79">
        <f t="shared" si="9"/>
        <v>0</v>
      </c>
    </row>
    <row r="28" spans="1:38" x14ac:dyDescent="0.25">
      <c r="A28" s="2">
        <f t="shared" si="0"/>
        <v>35</v>
      </c>
      <c r="B28" s="32">
        <v>17</v>
      </c>
      <c r="C28" s="78"/>
      <c r="D28" s="79">
        <f t="shared" si="6"/>
        <v>0</v>
      </c>
      <c r="E28" s="79">
        <f t="shared" si="6"/>
        <v>0</v>
      </c>
      <c r="F28" s="79">
        <f t="shared" si="6"/>
        <v>0</v>
      </c>
      <c r="G28" s="79">
        <f t="shared" si="6"/>
        <v>0</v>
      </c>
      <c r="H28" s="79">
        <f t="shared" si="6"/>
        <v>0</v>
      </c>
      <c r="I28" s="79">
        <f t="shared" si="6"/>
        <v>0</v>
      </c>
      <c r="J28" s="79">
        <f t="shared" si="6"/>
        <v>0</v>
      </c>
      <c r="K28" s="79">
        <f t="shared" si="6"/>
        <v>0</v>
      </c>
      <c r="L28" s="79">
        <f t="shared" si="6"/>
        <v>0</v>
      </c>
      <c r="M28" s="79">
        <f t="shared" si="6"/>
        <v>0</v>
      </c>
      <c r="N28" s="79">
        <f t="shared" si="7"/>
        <v>0</v>
      </c>
      <c r="O28" s="79">
        <f t="shared" si="7"/>
        <v>0</v>
      </c>
      <c r="P28" s="79">
        <f t="shared" si="7"/>
        <v>0</v>
      </c>
      <c r="Q28" s="79">
        <f t="shared" si="7"/>
        <v>0</v>
      </c>
      <c r="R28" s="79">
        <f t="shared" si="7"/>
        <v>0</v>
      </c>
      <c r="S28" s="79">
        <f t="shared" si="7"/>
        <v>0</v>
      </c>
      <c r="T28" s="79">
        <f t="shared" si="7"/>
        <v>0</v>
      </c>
      <c r="U28" s="79">
        <f t="shared" si="7"/>
        <v>0</v>
      </c>
      <c r="V28" s="79">
        <f t="shared" si="7"/>
        <v>0</v>
      </c>
      <c r="W28" s="79">
        <f t="shared" si="7"/>
        <v>0</v>
      </c>
      <c r="X28" s="79">
        <f t="shared" si="8"/>
        <v>0</v>
      </c>
      <c r="Y28" s="79">
        <f t="shared" si="8"/>
        <v>0</v>
      </c>
      <c r="Z28" s="79">
        <f t="shared" si="8"/>
        <v>0</v>
      </c>
      <c r="AA28" s="79">
        <f t="shared" si="8"/>
        <v>0</v>
      </c>
      <c r="AB28" s="79">
        <f t="shared" si="8"/>
        <v>0</v>
      </c>
      <c r="AC28" s="79">
        <f t="shared" si="8"/>
        <v>0</v>
      </c>
      <c r="AD28" s="79">
        <f t="shared" si="8"/>
        <v>0</v>
      </c>
      <c r="AE28" s="79">
        <f t="shared" si="8"/>
        <v>0</v>
      </c>
      <c r="AF28" s="79">
        <f t="shared" si="8"/>
        <v>0</v>
      </c>
      <c r="AG28" s="79">
        <f t="shared" si="8"/>
        <v>0</v>
      </c>
      <c r="AH28" s="79">
        <f t="shared" si="9"/>
        <v>0</v>
      </c>
      <c r="AI28" s="79">
        <f t="shared" si="9"/>
        <v>0</v>
      </c>
      <c r="AJ28" s="79">
        <f t="shared" si="9"/>
        <v>0</v>
      </c>
      <c r="AK28" s="79">
        <f t="shared" si="9"/>
        <v>0</v>
      </c>
      <c r="AL28" s="79">
        <f t="shared" si="9"/>
        <v>0</v>
      </c>
    </row>
    <row r="29" spans="1:38" x14ac:dyDescent="0.25">
      <c r="A29" s="2">
        <f t="shared" si="0"/>
        <v>35</v>
      </c>
      <c r="B29" s="32">
        <v>18</v>
      </c>
      <c r="C29" s="78"/>
      <c r="D29" s="79">
        <f t="shared" si="6"/>
        <v>0</v>
      </c>
      <c r="E29" s="79">
        <f t="shared" si="6"/>
        <v>0</v>
      </c>
      <c r="F29" s="79">
        <f t="shared" si="6"/>
        <v>0</v>
      </c>
      <c r="G29" s="79">
        <f t="shared" si="6"/>
        <v>0</v>
      </c>
      <c r="H29" s="79">
        <f t="shared" si="6"/>
        <v>0</v>
      </c>
      <c r="I29" s="79">
        <f t="shared" si="6"/>
        <v>0</v>
      </c>
      <c r="J29" s="79">
        <f t="shared" si="6"/>
        <v>0</v>
      </c>
      <c r="K29" s="79">
        <f t="shared" si="6"/>
        <v>0</v>
      </c>
      <c r="L29" s="79">
        <f t="shared" si="6"/>
        <v>0</v>
      </c>
      <c r="M29" s="79">
        <f t="shared" si="6"/>
        <v>0</v>
      </c>
      <c r="N29" s="79">
        <f t="shared" si="7"/>
        <v>0</v>
      </c>
      <c r="O29" s="79">
        <f t="shared" si="7"/>
        <v>0</v>
      </c>
      <c r="P29" s="79">
        <f t="shared" si="7"/>
        <v>0</v>
      </c>
      <c r="Q29" s="79">
        <f t="shared" si="7"/>
        <v>0</v>
      </c>
      <c r="R29" s="79">
        <f t="shared" si="7"/>
        <v>0</v>
      </c>
      <c r="S29" s="79">
        <f t="shared" si="7"/>
        <v>0</v>
      </c>
      <c r="T29" s="79">
        <f t="shared" si="7"/>
        <v>0</v>
      </c>
      <c r="U29" s="79">
        <f t="shared" si="7"/>
        <v>0</v>
      </c>
      <c r="V29" s="79">
        <f t="shared" si="7"/>
        <v>0</v>
      </c>
      <c r="W29" s="79">
        <f t="shared" si="7"/>
        <v>0</v>
      </c>
      <c r="X29" s="79">
        <f t="shared" si="8"/>
        <v>0</v>
      </c>
      <c r="Y29" s="79">
        <f t="shared" si="8"/>
        <v>0</v>
      </c>
      <c r="Z29" s="79">
        <f t="shared" si="8"/>
        <v>0</v>
      </c>
      <c r="AA29" s="79">
        <f t="shared" si="8"/>
        <v>0</v>
      </c>
      <c r="AB29" s="79">
        <f t="shared" si="8"/>
        <v>0</v>
      </c>
      <c r="AC29" s="79">
        <f t="shared" si="8"/>
        <v>0</v>
      </c>
      <c r="AD29" s="79">
        <f t="shared" si="8"/>
        <v>0</v>
      </c>
      <c r="AE29" s="79">
        <f t="shared" si="8"/>
        <v>0</v>
      </c>
      <c r="AF29" s="79">
        <f t="shared" si="8"/>
        <v>0</v>
      </c>
      <c r="AG29" s="79">
        <f t="shared" si="8"/>
        <v>0</v>
      </c>
      <c r="AH29" s="79">
        <f t="shared" si="9"/>
        <v>0</v>
      </c>
      <c r="AI29" s="79">
        <f t="shared" si="9"/>
        <v>0</v>
      </c>
      <c r="AJ29" s="79">
        <f t="shared" si="9"/>
        <v>0</v>
      </c>
      <c r="AK29" s="79">
        <f t="shared" si="9"/>
        <v>0</v>
      </c>
      <c r="AL29" s="79">
        <f t="shared" si="9"/>
        <v>0</v>
      </c>
    </row>
    <row r="30" spans="1:38" x14ac:dyDescent="0.25">
      <c r="A30" s="2">
        <f t="shared" si="0"/>
        <v>35</v>
      </c>
      <c r="B30" s="32">
        <v>19</v>
      </c>
      <c r="C30" s="78"/>
      <c r="D30" s="79">
        <f t="shared" si="6"/>
        <v>0</v>
      </c>
      <c r="E30" s="79">
        <f t="shared" si="6"/>
        <v>0</v>
      </c>
      <c r="F30" s="79">
        <f t="shared" si="6"/>
        <v>0</v>
      </c>
      <c r="G30" s="79">
        <f t="shared" si="6"/>
        <v>0</v>
      </c>
      <c r="H30" s="79">
        <f t="shared" si="6"/>
        <v>0</v>
      </c>
      <c r="I30" s="79">
        <f t="shared" si="6"/>
        <v>0</v>
      </c>
      <c r="J30" s="79">
        <f t="shared" si="6"/>
        <v>0</v>
      </c>
      <c r="K30" s="79">
        <f t="shared" si="6"/>
        <v>0</v>
      </c>
      <c r="L30" s="79">
        <f t="shared" si="6"/>
        <v>0</v>
      </c>
      <c r="M30" s="79">
        <f t="shared" si="6"/>
        <v>0</v>
      </c>
      <c r="N30" s="79">
        <f t="shared" si="7"/>
        <v>0</v>
      </c>
      <c r="O30" s="79">
        <f t="shared" si="7"/>
        <v>0</v>
      </c>
      <c r="P30" s="79">
        <f t="shared" si="7"/>
        <v>0</v>
      </c>
      <c r="Q30" s="79">
        <f t="shared" si="7"/>
        <v>0</v>
      </c>
      <c r="R30" s="79">
        <f t="shared" si="7"/>
        <v>0</v>
      </c>
      <c r="S30" s="79">
        <f t="shared" si="7"/>
        <v>0</v>
      </c>
      <c r="T30" s="79">
        <f t="shared" si="7"/>
        <v>0</v>
      </c>
      <c r="U30" s="79">
        <f t="shared" si="7"/>
        <v>0</v>
      </c>
      <c r="V30" s="79">
        <f t="shared" si="7"/>
        <v>0</v>
      </c>
      <c r="W30" s="79">
        <f t="shared" si="7"/>
        <v>0</v>
      </c>
      <c r="X30" s="79">
        <f t="shared" si="8"/>
        <v>0</v>
      </c>
      <c r="Y30" s="79">
        <f t="shared" si="8"/>
        <v>0</v>
      </c>
      <c r="Z30" s="79">
        <f t="shared" si="8"/>
        <v>0</v>
      </c>
      <c r="AA30" s="79">
        <f t="shared" si="8"/>
        <v>0</v>
      </c>
      <c r="AB30" s="79">
        <f t="shared" si="8"/>
        <v>0</v>
      </c>
      <c r="AC30" s="79">
        <f t="shared" si="8"/>
        <v>0</v>
      </c>
      <c r="AD30" s="79">
        <f t="shared" si="8"/>
        <v>0</v>
      </c>
      <c r="AE30" s="79">
        <f t="shared" si="8"/>
        <v>0</v>
      </c>
      <c r="AF30" s="79">
        <f t="shared" si="8"/>
        <v>0</v>
      </c>
      <c r="AG30" s="79">
        <f t="shared" si="8"/>
        <v>0</v>
      </c>
      <c r="AH30" s="79">
        <f t="shared" si="9"/>
        <v>0</v>
      </c>
      <c r="AI30" s="79">
        <f t="shared" si="9"/>
        <v>0</v>
      </c>
      <c r="AJ30" s="79">
        <f t="shared" si="9"/>
        <v>0</v>
      </c>
      <c r="AK30" s="79">
        <f t="shared" si="9"/>
        <v>0</v>
      </c>
      <c r="AL30" s="79">
        <f t="shared" si="9"/>
        <v>0</v>
      </c>
    </row>
    <row r="31" spans="1:38" x14ac:dyDescent="0.25">
      <c r="A31" s="2">
        <f t="shared" si="0"/>
        <v>35</v>
      </c>
      <c r="B31" s="32">
        <v>20</v>
      </c>
      <c r="C31" s="78"/>
      <c r="D31" s="79">
        <f t="shared" si="6"/>
        <v>0</v>
      </c>
      <c r="E31" s="79">
        <f t="shared" si="6"/>
        <v>0</v>
      </c>
      <c r="F31" s="79">
        <f t="shared" si="6"/>
        <v>0</v>
      </c>
      <c r="G31" s="79">
        <f t="shared" si="6"/>
        <v>0</v>
      </c>
      <c r="H31" s="79">
        <f t="shared" si="6"/>
        <v>0</v>
      </c>
      <c r="I31" s="79">
        <f t="shared" si="6"/>
        <v>0</v>
      </c>
      <c r="J31" s="79">
        <f t="shared" si="6"/>
        <v>0</v>
      </c>
      <c r="K31" s="79">
        <f t="shared" si="6"/>
        <v>0</v>
      </c>
      <c r="L31" s="79">
        <f t="shared" si="6"/>
        <v>0</v>
      </c>
      <c r="M31" s="79">
        <f t="shared" si="6"/>
        <v>0</v>
      </c>
      <c r="N31" s="79">
        <f t="shared" si="7"/>
        <v>0</v>
      </c>
      <c r="O31" s="79">
        <f t="shared" si="7"/>
        <v>0</v>
      </c>
      <c r="P31" s="79">
        <f t="shared" si="7"/>
        <v>0</v>
      </c>
      <c r="Q31" s="79">
        <f t="shared" si="7"/>
        <v>0</v>
      </c>
      <c r="R31" s="79">
        <f t="shared" si="7"/>
        <v>0</v>
      </c>
      <c r="S31" s="79">
        <f t="shared" si="7"/>
        <v>0</v>
      </c>
      <c r="T31" s="79">
        <f t="shared" si="7"/>
        <v>0</v>
      </c>
      <c r="U31" s="79">
        <f t="shared" si="7"/>
        <v>0</v>
      </c>
      <c r="V31" s="79">
        <f t="shared" si="7"/>
        <v>0</v>
      </c>
      <c r="W31" s="79">
        <f t="shared" si="7"/>
        <v>0</v>
      </c>
      <c r="X31" s="79">
        <f t="shared" si="8"/>
        <v>0</v>
      </c>
      <c r="Y31" s="79">
        <f t="shared" si="8"/>
        <v>0</v>
      </c>
      <c r="Z31" s="79">
        <f t="shared" si="8"/>
        <v>0</v>
      </c>
      <c r="AA31" s="79">
        <f t="shared" si="8"/>
        <v>0</v>
      </c>
      <c r="AB31" s="79">
        <f t="shared" si="8"/>
        <v>0</v>
      </c>
      <c r="AC31" s="79">
        <f t="shared" si="8"/>
        <v>0</v>
      </c>
      <c r="AD31" s="79">
        <f t="shared" si="8"/>
        <v>0</v>
      </c>
      <c r="AE31" s="79">
        <f t="shared" si="8"/>
        <v>0</v>
      </c>
      <c r="AF31" s="79">
        <f t="shared" si="8"/>
        <v>0</v>
      </c>
      <c r="AG31" s="79">
        <f t="shared" si="8"/>
        <v>0</v>
      </c>
      <c r="AH31" s="79">
        <f t="shared" si="9"/>
        <v>0</v>
      </c>
      <c r="AI31" s="79">
        <f t="shared" si="9"/>
        <v>0</v>
      </c>
      <c r="AJ31" s="79">
        <f t="shared" si="9"/>
        <v>0</v>
      </c>
      <c r="AK31" s="79">
        <f t="shared" si="9"/>
        <v>0</v>
      </c>
      <c r="AL31" s="79">
        <f t="shared" si="9"/>
        <v>0</v>
      </c>
    </row>
    <row r="32" spans="1:38" x14ac:dyDescent="0.25">
      <c r="A32" s="2">
        <f t="shared" si="0"/>
        <v>35</v>
      </c>
      <c r="B32" s="32">
        <v>21</v>
      </c>
      <c r="C32" s="78"/>
      <c r="D32" s="79">
        <f t="shared" si="6"/>
        <v>0</v>
      </c>
      <c r="E32" s="79">
        <f t="shared" si="6"/>
        <v>0</v>
      </c>
      <c r="F32" s="79">
        <f t="shared" si="6"/>
        <v>0</v>
      </c>
      <c r="G32" s="79">
        <f t="shared" si="6"/>
        <v>0</v>
      </c>
      <c r="H32" s="79">
        <f t="shared" si="6"/>
        <v>0</v>
      </c>
      <c r="I32" s="79">
        <f t="shared" si="6"/>
        <v>0</v>
      </c>
      <c r="J32" s="79">
        <f t="shared" si="6"/>
        <v>0</v>
      </c>
      <c r="K32" s="79">
        <f t="shared" si="6"/>
        <v>0</v>
      </c>
      <c r="L32" s="79">
        <f t="shared" si="6"/>
        <v>0</v>
      </c>
      <c r="M32" s="79">
        <f t="shared" si="6"/>
        <v>0</v>
      </c>
      <c r="N32" s="79">
        <f t="shared" si="7"/>
        <v>0</v>
      </c>
      <c r="O32" s="79">
        <f t="shared" si="7"/>
        <v>0</v>
      </c>
      <c r="P32" s="79">
        <f t="shared" si="7"/>
        <v>0</v>
      </c>
      <c r="Q32" s="79">
        <f t="shared" si="7"/>
        <v>0</v>
      </c>
      <c r="R32" s="79">
        <f t="shared" si="7"/>
        <v>0</v>
      </c>
      <c r="S32" s="79">
        <f t="shared" si="7"/>
        <v>0</v>
      </c>
      <c r="T32" s="79">
        <f t="shared" si="7"/>
        <v>0</v>
      </c>
      <c r="U32" s="79">
        <f t="shared" si="7"/>
        <v>0</v>
      </c>
      <c r="V32" s="79">
        <f t="shared" si="7"/>
        <v>0</v>
      </c>
      <c r="W32" s="79">
        <f t="shared" si="7"/>
        <v>0</v>
      </c>
      <c r="X32" s="79">
        <f t="shared" si="8"/>
        <v>0</v>
      </c>
      <c r="Y32" s="79">
        <f t="shared" si="8"/>
        <v>0</v>
      </c>
      <c r="Z32" s="79">
        <f t="shared" si="8"/>
        <v>0</v>
      </c>
      <c r="AA32" s="79">
        <f t="shared" si="8"/>
        <v>0</v>
      </c>
      <c r="AB32" s="79">
        <f t="shared" si="8"/>
        <v>0</v>
      </c>
      <c r="AC32" s="79">
        <f t="shared" si="8"/>
        <v>0</v>
      </c>
      <c r="AD32" s="79">
        <f t="shared" si="8"/>
        <v>0</v>
      </c>
      <c r="AE32" s="79">
        <f t="shared" si="8"/>
        <v>0</v>
      </c>
      <c r="AF32" s="79">
        <f t="shared" si="8"/>
        <v>0</v>
      </c>
      <c r="AG32" s="79">
        <f t="shared" si="8"/>
        <v>0</v>
      </c>
      <c r="AH32" s="79">
        <f t="shared" si="9"/>
        <v>0</v>
      </c>
      <c r="AI32" s="79">
        <f t="shared" si="9"/>
        <v>0</v>
      </c>
      <c r="AJ32" s="79">
        <f t="shared" si="9"/>
        <v>0</v>
      </c>
      <c r="AK32" s="79">
        <f t="shared" si="9"/>
        <v>0</v>
      </c>
      <c r="AL32" s="79">
        <f t="shared" si="9"/>
        <v>0</v>
      </c>
    </row>
    <row r="33" spans="1:38" x14ac:dyDescent="0.25">
      <c r="A33" s="2">
        <f t="shared" si="0"/>
        <v>35</v>
      </c>
      <c r="B33" s="32">
        <v>22</v>
      </c>
      <c r="C33" s="78"/>
      <c r="D33" s="79">
        <f t="shared" ref="D33:M46" si="10">IF(OR(D$11&lt;=$B33,D$11&gt;($B33+$F$9)),0,$C33/$F$9)</f>
        <v>0</v>
      </c>
      <c r="E33" s="79">
        <f t="shared" si="10"/>
        <v>0</v>
      </c>
      <c r="F33" s="79">
        <f t="shared" si="10"/>
        <v>0</v>
      </c>
      <c r="G33" s="79">
        <f t="shared" si="10"/>
        <v>0</v>
      </c>
      <c r="H33" s="79">
        <f t="shared" si="10"/>
        <v>0</v>
      </c>
      <c r="I33" s="79">
        <f t="shared" si="10"/>
        <v>0</v>
      </c>
      <c r="J33" s="79">
        <f t="shared" si="10"/>
        <v>0</v>
      </c>
      <c r="K33" s="79">
        <f t="shared" si="10"/>
        <v>0</v>
      </c>
      <c r="L33" s="79">
        <f t="shared" si="10"/>
        <v>0</v>
      </c>
      <c r="M33" s="79">
        <f t="shared" si="10"/>
        <v>0</v>
      </c>
      <c r="N33" s="79">
        <f t="shared" ref="N33:W46" si="11">IF(OR(N$11&lt;=$B33,N$11&gt;($B33+$F$9)),0,$C33/$F$9)</f>
        <v>0</v>
      </c>
      <c r="O33" s="79">
        <f t="shared" si="11"/>
        <v>0</v>
      </c>
      <c r="P33" s="79">
        <f t="shared" si="11"/>
        <v>0</v>
      </c>
      <c r="Q33" s="79">
        <f t="shared" si="11"/>
        <v>0</v>
      </c>
      <c r="R33" s="79">
        <f t="shared" si="11"/>
        <v>0</v>
      </c>
      <c r="S33" s="79">
        <f t="shared" si="11"/>
        <v>0</v>
      </c>
      <c r="T33" s="79">
        <f t="shared" si="11"/>
        <v>0</v>
      </c>
      <c r="U33" s="79">
        <f t="shared" si="11"/>
        <v>0</v>
      </c>
      <c r="V33" s="79">
        <f t="shared" si="11"/>
        <v>0</v>
      </c>
      <c r="W33" s="79">
        <f t="shared" si="11"/>
        <v>0</v>
      </c>
      <c r="X33" s="79">
        <f t="shared" ref="X33:AG46" si="12">IF(OR(X$11&lt;=$B33,X$11&gt;($B33+$F$9)),0,$C33/$F$9)</f>
        <v>0</v>
      </c>
      <c r="Y33" s="79">
        <f t="shared" si="12"/>
        <v>0</v>
      </c>
      <c r="Z33" s="79">
        <f t="shared" si="12"/>
        <v>0</v>
      </c>
      <c r="AA33" s="79">
        <f t="shared" si="12"/>
        <v>0</v>
      </c>
      <c r="AB33" s="79">
        <f t="shared" si="12"/>
        <v>0</v>
      </c>
      <c r="AC33" s="79">
        <f t="shared" si="12"/>
        <v>0</v>
      </c>
      <c r="AD33" s="79">
        <f t="shared" si="12"/>
        <v>0</v>
      </c>
      <c r="AE33" s="79">
        <f t="shared" si="12"/>
        <v>0</v>
      </c>
      <c r="AF33" s="79">
        <f t="shared" si="12"/>
        <v>0</v>
      </c>
      <c r="AG33" s="79">
        <f t="shared" si="12"/>
        <v>0</v>
      </c>
      <c r="AH33" s="79">
        <f t="shared" ref="AH33:AL46" si="13">IF(OR(AH$11&lt;=$B33,AH$11&gt;($B33+$F$9)),0,$C33/($A33-$B33))</f>
        <v>0</v>
      </c>
      <c r="AI33" s="79">
        <f t="shared" si="13"/>
        <v>0</v>
      </c>
      <c r="AJ33" s="79">
        <f t="shared" si="13"/>
        <v>0</v>
      </c>
      <c r="AK33" s="79">
        <f t="shared" si="13"/>
        <v>0</v>
      </c>
      <c r="AL33" s="79">
        <f t="shared" si="13"/>
        <v>0</v>
      </c>
    </row>
    <row r="34" spans="1:38" x14ac:dyDescent="0.25">
      <c r="A34" s="2">
        <f t="shared" si="0"/>
        <v>35</v>
      </c>
      <c r="B34" s="32">
        <v>23</v>
      </c>
      <c r="C34" s="78"/>
      <c r="D34" s="79">
        <f t="shared" si="10"/>
        <v>0</v>
      </c>
      <c r="E34" s="79">
        <f t="shared" si="10"/>
        <v>0</v>
      </c>
      <c r="F34" s="79">
        <f t="shared" si="10"/>
        <v>0</v>
      </c>
      <c r="G34" s="79">
        <f t="shared" si="10"/>
        <v>0</v>
      </c>
      <c r="H34" s="79">
        <f t="shared" si="10"/>
        <v>0</v>
      </c>
      <c r="I34" s="79">
        <f t="shared" si="10"/>
        <v>0</v>
      </c>
      <c r="J34" s="79">
        <f t="shared" si="10"/>
        <v>0</v>
      </c>
      <c r="K34" s="79">
        <f t="shared" si="10"/>
        <v>0</v>
      </c>
      <c r="L34" s="79">
        <f t="shared" si="10"/>
        <v>0</v>
      </c>
      <c r="M34" s="79">
        <f t="shared" si="10"/>
        <v>0</v>
      </c>
      <c r="N34" s="79">
        <f t="shared" si="11"/>
        <v>0</v>
      </c>
      <c r="O34" s="79">
        <f t="shared" si="11"/>
        <v>0</v>
      </c>
      <c r="P34" s="79">
        <f t="shared" si="11"/>
        <v>0</v>
      </c>
      <c r="Q34" s="79">
        <f t="shared" si="11"/>
        <v>0</v>
      </c>
      <c r="R34" s="79">
        <f t="shared" si="11"/>
        <v>0</v>
      </c>
      <c r="S34" s="79">
        <f t="shared" si="11"/>
        <v>0</v>
      </c>
      <c r="T34" s="79">
        <f t="shared" si="11"/>
        <v>0</v>
      </c>
      <c r="U34" s="79">
        <f t="shared" si="11"/>
        <v>0</v>
      </c>
      <c r="V34" s="79">
        <f t="shared" si="11"/>
        <v>0</v>
      </c>
      <c r="W34" s="79">
        <f t="shared" si="11"/>
        <v>0</v>
      </c>
      <c r="X34" s="79">
        <f t="shared" si="12"/>
        <v>0</v>
      </c>
      <c r="Y34" s="79">
        <f t="shared" si="12"/>
        <v>0</v>
      </c>
      <c r="Z34" s="79">
        <f t="shared" si="12"/>
        <v>0</v>
      </c>
      <c r="AA34" s="79">
        <f t="shared" si="12"/>
        <v>0</v>
      </c>
      <c r="AB34" s="79">
        <f t="shared" si="12"/>
        <v>0</v>
      </c>
      <c r="AC34" s="79">
        <f t="shared" si="12"/>
        <v>0</v>
      </c>
      <c r="AD34" s="79">
        <f t="shared" si="12"/>
        <v>0</v>
      </c>
      <c r="AE34" s="79">
        <f t="shared" si="12"/>
        <v>0</v>
      </c>
      <c r="AF34" s="79">
        <f t="shared" si="12"/>
        <v>0</v>
      </c>
      <c r="AG34" s="79">
        <f t="shared" si="12"/>
        <v>0</v>
      </c>
      <c r="AH34" s="79">
        <f t="shared" si="13"/>
        <v>0</v>
      </c>
      <c r="AI34" s="79">
        <f t="shared" si="13"/>
        <v>0</v>
      </c>
      <c r="AJ34" s="79">
        <f t="shared" si="13"/>
        <v>0</v>
      </c>
      <c r="AK34" s="79">
        <f t="shared" si="13"/>
        <v>0</v>
      </c>
      <c r="AL34" s="79">
        <f t="shared" si="13"/>
        <v>0</v>
      </c>
    </row>
    <row r="35" spans="1:38" x14ac:dyDescent="0.25">
      <c r="A35" s="2">
        <f t="shared" si="0"/>
        <v>35</v>
      </c>
      <c r="B35" s="32">
        <v>24</v>
      </c>
      <c r="C35" s="78"/>
      <c r="D35" s="79">
        <f t="shared" si="10"/>
        <v>0</v>
      </c>
      <c r="E35" s="79">
        <f t="shared" si="10"/>
        <v>0</v>
      </c>
      <c r="F35" s="79">
        <f t="shared" si="10"/>
        <v>0</v>
      </c>
      <c r="G35" s="79">
        <f t="shared" si="10"/>
        <v>0</v>
      </c>
      <c r="H35" s="79">
        <f t="shared" si="10"/>
        <v>0</v>
      </c>
      <c r="I35" s="79">
        <f t="shared" si="10"/>
        <v>0</v>
      </c>
      <c r="J35" s="79">
        <f t="shared" si="10"/>
        <v>0</v>
      </c>
      <c r="K35" s="79">
        <f t="shared" si="10"/>
        <v>0</v>
      </c>
      <c r="L35" s="79">
        <f t="shared" si="10"/>
        <v>0</v>
      </c>
      <c r="M35" s="79">
        <f t="shared" si="10"/>
        <v>0</v>
      </c>
      <c r="N35" s="79">
        <f t="shared" si="11"/>
        <v>0</v>
      </c>
      <c r="O35" s="79">
        <f t="shared" si="11"/>
        <v>0</v>
      </c>
      <c r="P35" s="79">
        <f t="shared" si="11"/>
        <v>0</v>
      </c>
      <c r="Q35" s="79">
        <f t="shared" si="11"/>
        <v>0</v>
      </c>
      <c r="R35" s="79">
        <f t="shared" si="11"/>
        <v>0</v>
      </c>
      <c r="S35" s="79">
        <f t="shared" si="11"/>
        <v>0</v>
      </c>
      <c r="T35" s="79">
        <f t="shared" si="11"/>
        <v>0</v>
      </c>
      <c r="U35" s="79">
        <f t="shared" si="11"/>
        <v>0</v>
      </c>
      <c r="V35" s="79">
        <f t="shared" si="11"/>
        <v>0</v>
      </c>
      <c r="W35" s="79">
        <f t="shared" si="11"/>
        <v>0</v>
      </c>
      <c r="X35" s="79">
        <f t="shared" si="12"/>
        <v>0</v>
      </c>
      <c r="Y35" s="79">
        <f t="shared" si="12"/>
        <v>0</v>
      </c>
      <c r="Z35" s="79">
        <f t="shared" si="12"/>
        <v>0</v>
      </c>
      <c r="AA35" s="79">
        <f t="shared" si="12"/>
        <v>0</v>
      </c>
      <c r="AB35" s="79">
        <f t="shared" si="12"/>
        <v>0</v>
      </c>
      <c r="AC35" s="79">
        <f t="shared" si="12"/>
        <v>0</v>
      </c>
      <c r="AD35" s="79">
        <f t="shared" si="12"/>
        <v>0</v>
      </c>
      <c r="AE35" s="79">
        <f t="shared" si="12"/>
        <v>0</v>
      </c>
      <c r="AF35" s="79">
        <f t="shared" si="12"/>
        <v>0</v>
      </c>
      <c r="AG35" s="79">
        <f t="shared" si="12"/>
        <v>0</v>
      </c>
      <c r="AH35" s="79">
        <f t="shared" si="13"/>
        <v>0</v>
      </c>
      <c r="AI35" s="79">
        <f t="shared" si="13"/>
        <v>0</v>
      </c>
      <c r="AJ35" s="79">
        <f t="shared" si="13"/>
        <v>0</v>
      </c>
      <c r="AK35" s="79">
        <f t="shared" si="13"/>
        <v>0</v>
      </c>
      <c r="AL35" s="79">
        <f t="shared" si="13"/>
        <v>0</v>
      </c>
    </row>
    <row r="36" spans="1:38" x14ac:dyDescent="0.25">
      <c r="A36" s="2">
        <f t="shared" si="0"/>
        <v>35</v>
      </c>
      <c r="B36" s="32">
        <v>25</v>
      </c>
      <c r="C36" s="78"/>
      <c r="D36" s="79">
        <f t="shared" si="10"/>
        <v>0</v>
      </c>
      <c r="E36" s="79">
        <f t="shared" si="10"/>
        <v>0</v>
      </c>
      <c r="F36" s="79">
        <f t="shared" si="10"/>
        <v>0</v>
      </c>
      <c r="G36" s="79">
        <f t="shared" si="10"/>
        <v>0</v>
      </c>
      <c r="H36" s="79">
        <f t="shared" si="10"/>
        <v>0</v>
      </c>
      <c r="I36" s="79">
        <f t="shared" si="10"/>
        <v>0</v>
      </c>
      <c r="J36" s="79">
        <f t="shared" si="10"/>
        <v>0</v>
      </c>
      <c r="K36" s="79">
        <f t="shared" si="10"/>
        <v>0</v>
      </c>
      <c r="L36" s="79">
        <f t="shared" si="10"/>
        <v>0</v>
      </c>
      <c r="M36" s="79">
        <f t="shared" si="10"/>
        <v>0</v>
      </c>
      <c r="N36" s="79">
        <f t="shared" si="11"/>
        <v>0</v>
      </c>
      <c r="O36" s="79">
        <f t="shared" si="11"/>
        <v>0</v>
      </c>
      <c r="P36" s="79">
        <f t="shared" si="11"/>
        <v>0</v>
      </c>
      <c r="Q36" s="79">
        <f t="shared" si="11"/>
        <v>0</v>
      </c>
      <c r="R36" s="79">
        <f t="shared" si="11"/>
        <v>0</v>
      </c>
      <c r="S36" s="79">
        <f t="shared" si="11"/>
        <v>0</v>
      </c>
      <c r="T36" s="79">
        <f t="shared" si="11"/>
        <v>0</v>
      </c>
      <c r="U36" s="79">
        <f t="shared" si="11"/>
        <v>0</v>
      </c>
      <c r="V36" s="79">
        <f t="shared" si="11"/>
        <v>0</v>
      </c>
      <c r="W36" s="79">
        <f t="shared" si="11"/>
        <v>0</v>
      </c>
      <c r="X36" s="79">
        <f t="shared" si="12"/>
        <v>0</v>
      </c>
      <c r="Y36" s="79">
        <f t="shared" si="12"/>
        <v>0</v>
      </c>
      <c r="Z36" s="79">
        <f t="shared" si="12"/>
        <v>0</v>
      </c>
      <c r="AA36" s="79">
        <f t="shared" si="12"/>
        <v>0</v>
      </c>
      <c r="AB36" s="79">
        <f t="shared" si="12"/>
        <v>0</v>
      </c>
      <c r="AC36" s="79">
        <f t="shared" si="12"/>
        <v>0</v>
      </c>
      <c r="AD36" s="79">
        <f t="shared" si="12"/>
        <v>0</v>
      </c>
      <c r="AE36" s="79">
        <f t="shared" si="12"/>
        <v>0</v>
      </c>
      <c r="AF36" s="79">
        <f t="shared" si="12"/>
        <v>0</v>
      </c>
      <c r="AG36" s="79">
        <f t="shared" si="12"/>
        <v>0</v>
      </c>
      <c r="AH36" s="79">
        <f t="shared" si="13"/>
        <v>0</v>
      </c>
      <c r="AI36" s="79">
        <f t="shared" si="13"/>
        <v>0</v>
      </c>
      <c r="AJ36" s="79">
        <f t="shared" si="13"/>
        <v>0</v>
      </c>
      <c r="AK36" s="79">
        <f t="shared" si="13"/>
        <v>0</v>
      </c>
      <c r="AL36" s="79">
        <f t="shared" si="13"/>
        <v>0</v>
      </c>
    </row>
    <row r="37" spans="1:38" x14ac:dyDescent="0.25">
      <c r="A37" s="2">
        <f t="shared" si="0"/>
        <v>35</v>
      </c>
      <c r="B37" s="32">
        <v>26</v>
      </c>
      <c r="C37" s="78"/>
      <c r="D37" s="79">
        <f t="shared" si="10"/>
        <v>0</v>
      </c>
      <c r="E37" s="79">
        <f t="shared" si="10"/>
        <v>0</v>
      </c>
      <c r="F37" s="79">
        <f t="shared" si="10"/>
        <v>0</v>
      </c>
      <c r="G37" s="79">
        <f t="shared" si="10"/>
        <v>0</v>
      </c>
      <c r="H37" s="79">
        <f t="shared" si="10"/>
        <v>0</v>
      </c>
      <c r="I37" s="79">
        <f t="shared" si="10"/>
        <v>0</v>
      </c>
      <c r="J37" s="79">
        <f t="shared" si="10"/>
        <v>0</v>
      </c>
      <c r="K37" s="79">
        <f t="shared" si="10"/>
        <v>0</v>
      </c>
      <c r="L37" s="79">
        <f t="shared" si="10"/>
        <v>0</v>
      </c>
      <c r="M37" s="79">
        <f t="shared" si="10"/>
        <v>0</v>
      </c>
      <c r="N37" s="79">
        <f t="shared" si="11"/>
        <v>0</v>
      </c>
      <c r="O37" s="79">
        <f t="shared" si="11"/>
        <v>0</v>
      </c>
      <c r="P37" s="79">
        <f t="shared" si="11"/>
        <v>0</v>
      </c>
      <c r="Q37" s="79">
        <f t="shared" si="11"/>
        <v>0</v>
      </c>
      <c r="R37" s="79">
        <f t="shared" si="11"/>
        <v>0</v>
      </c>
      <c r="S37" s="79">
        <f t="shared" si="11"/>
        <v>0</v>
      </c>
      <c r="T37" s="79">
        <f t="shared" si="11"/>
        <v>0</v>
      </c>
      <c r="U37" s="79">
        <f t="shared" si="11"/>
        <v>0</v>
      </c>
      <c r="V37" s="79">
        <f t="shared" si="11"/>
        <v>0</v>
      </c>
      <c r="W37" s="79">
        <f t="shared" si="11"/>
        <v>0</v>
      </c>
      <c r="X37" s="79">
        <f t="shared" si="12"/>
        <v>0</v>
      </c>
      <c r="Y37" s="79">
        <f t="shared" si="12"/>
        <v>0</v>
      </c>
      <c r="Z37" s="79">
        <f t="shared" si="12"/>
        <v>0</v>
      </c>
      <c r="AA37" s="79">
        <f t="shared" si="12"/>
        <v>0</v>
      </c>
      <c r="AB37" s="79">
        <f t="shared" si="12"/>
        <v>0</v>
      </c>
      <c r="AC37" s="79">
        <f t="shared" si="12"/>
        <v>0</v>
      </c>
      <c r="AD37" s="79">
        <f t="shared" si="12"/>
        <v>0</v>
      </c>
      <c r="AE37" s="79">
        <f t="shared" si="12"/>
        <v>0</v>
      </c>
      <c r="AF37" s="79">
        <f t="shared" si="12"/>
        <v>0</v>
      </c>
      <c r="AG37" s="79">
        <f t="shared" si="12"/>
        <v>0</v>
      </c>
      <c r="AH37" s="79">
        <f t="shared" si="13"/>
        <v>0</v>
      </c>
      <c r="AI37" s="79">
        <f t="shared" si="13"/>
        <v>0</v>
      </c>
      <c r="AJ37" s="79">
        <f t="shared" si="13"/>
        <v>0</v>
      </c>
      <c r="AK37" s="79">
        <f t="shared" si="13"/>
        <v>0</v>
      </c>
      <c r="AL37" s="79">
        <f t="shared" si="13"/>
        <v>0</v>
      </c>
    </row>
    <row r="38" spans="1:38" x14ac:dyDescent="0.25">
      <c r="A38" s="2">
        <f t="shared" si="0"/>
        <v>35</v>
      </c>
      <c r="B38" s="32">
        <v>27</v>
      </c>
      <c r="C38" s="78"/>
      <c r="D38" s="79">
        <f t="shared" si="10"/>
        <v>0</v>
      </c>
      <c r="E38" s="79">
        <f t="shared" si="10"/>
        <v>0</v>
      </c>
      <c r="F38" s="79">
        <f t="shared" si="10"/>
        <v>0</v>
      </c>
      <c r="G38" s="79">
        <f t="shared" si="10"/>
        <v>0</v>
      </c>
      <c r="H38" s="79">
        <f t="shared" si="10"/>
        <v>0</v>
      </c>
      <c r="I38" s="79">
        <f t="shared" si="10"/>
        <v>0</v>
      </c>
      <c r="J38" s="79">
        <f t="shared" si="10"/>
        <v>0</v>
      </c>
      <c r="K38" s="79">
        <f t="shared" si="10"/>
        <v>0</v>
      </c>
      <c r="L38" s="79">
        <f t="shared" si="10"/>
        <v>0</v>
      </c>
      <c r="M38" s="79">
        <f t="shared" si="10"/>
        <v>0</v>
      </c>
      <c r="N38" s="79">
        <f t="shared" si="11"/>
        <v>0</v>
      </c>
      <c r="O38" s="79">
        <f t="shared" si="11"/>
        <v>0</v>
      </c>
      <c r="P38" s="79">
        <f t="shared" si="11"/>
        <v>0</v>
      </c>
      <c r="Q38" s="79">
        <f t="shared" si="11"/>
        <v>0</v>
      </c>
      <c r="R38" s="79">
        <f t="shared" si="11"/>
        <v>0</v>
      </c>
      <c r="S38" s="79">
        <f t="shared" si="11"/>
        <v>0</v>
      </c>
      <c r="T38" s="79">
        <f t="shared" si="11"/>
        <v>0</v>
      </c>
      <c r="U38" s="79">
        <f t="shared" si="11"/>
        <v>0</v>
      </c>
      <c r="V38" s="79">
        <f t="shared" si="11"/>
        <v>0</v>
      </c>
      <c r="W38" s="79">
        <f t="shared" si="11"/>
        <v>0</v>
      </c>
      <c r="X38" s="79">
        <f t="shared" si="12"/>
        <v>0</v>
      </c>
      <c r="Y38" s="79">
        <f t="shared" si="12"/>
        <v>0</v>
      </c>
      <c r="Z38" s="79">
        <f t="shared" si="12"/>
        <v>0</v>
      </c>
      <c r="AA38" s="79">
        <f t="shared" si="12"/>
        <v>0</v>
      </c>
      <c r="AB38" s="79">
        <f t="shared" si="12"/>
        <v>0</v>
      </c>
      <c r="AC38" s="79">
        <f t="shared" si="12"/>
        <v>0</v>
      </c>
      <c r="AD38" s="79">
        <f t="shared" si="12"/>
        <v>0</v>
      </c>
      <c r="AE38" s="79">
        <f t="shared" si="12"/>
        <v>0</v>
      </c>
      <c r="AF38" s="79">
        <f t="shared" si="12"/>
        <v>0</v>
      </c>
      <c r="AG38" s="79">
        <f t="shared" si="12"/>
        <v>0</v>
      </c>
      <c r="AH38" s="79">
        <f t="shared" si="13"/>
        <v>0</v>
      </c>
      <c r="AI38" s="79">
        <f t="shared" si="13"/>
        <v>0</v>
      </c>
      <c r="AJ38" s="79">
        <f t="shared" si="13"/>
        <v>0</v>
      </c>
      <c r="AK38" s="79">
        <f t="shared" si="13"/>
        <v>0</v>
      </c>
      <c r="AL38" s="79">
        <f t="shared" si="13"/>
        <v>0</v>
      </c>
    </row>
    <row r="39" spans="1:38" x14ac:dyDescent="0.25">
      <c r="A39" s="2">
        <f t="shared" si="0"/>
        <v>35</v>
      </c>
      <c r="B39" s="32">
        <v>28</v>
      </c>
      <c r="C39" s="78"/>
      <c r="D39" s="79">
        <f t="shared" si="10"/>
        <v>0</v>
      </c>
      <c r="E39" s="79">
        <f t="shared" si="10"/>
        <v>0</v>
      </c>
      <c r="F39" s="79">
        <f t="shared" si="10"/>
        <v>0</v>
      </c>
      <c r="G39" s="79">
        <f t="shared" si="10"/>
        <v>0</v>
      </c>
      <c r="H39" s="79">
        <f t="shared" si="10"/>
        <v>0</v>
      </c>
      <c r="I39" s="79">
        <f t="shared" si="10"/>
        <v>0</v>
      </c>
      <c r="J39" s="79">
        <f t="shared" si="10"/>
        <v>0</v>
      </c>
      <c r="K39" s="79">
        <f t="shared" si="10"/>
        <v>0</v>
      </c>
      <c r="L39" s="79">
        <f t="shared" si="10"/>
        <v>0</v>
      </c>
      <c r="M39" s="79">
        <f t="shared" si="10"/>
        <v>0</v>
      </c>
      <c r="N39" s="79">
        <f t="shared" si="11"/>
        <v>0</v>
      </c>
      <c r="O39" s="79">
        <f t="shared" si="11"/>
        <v>0</v>
      </c>
      <c r="P39" s="79">
        <f t="shared" si="11"/>
        <v>0</v>
      </c>
      <c r="Q39" s="79">
        <f t="shared" si="11"/>
        <v>0</v>
      </c>
      <c r="R39" s="79">
        <f t="shared" si="11"/>
        <v>0</v>
      </c>
      <c r="S39" s="79">
        <f t="shared" si="11"/>
        <v>0</v>
      </c>
      <c r="T39" s="79">
        <f t="shared" si="11"/>
        <v>0</v>
      </c>
      <c r="U39" s="79">
        <f t="shared" si="11"/>
        <v>0</v>
      </c>
      <c r="V39" s="79">
        <f t="shared" si="11"/>
        <v>0</v>
      </c>
      <c r="W39" s="79">
        <f t="shared" si="11"/>
        <v>0</v>
      </c>
      <c r="X39" s="79">
        <f t="shared" si="12"/>
        <v>0</v>
      </c>
      <c r="Y39" s="79">
        <f t="shared" si="12"/>
        <v>0</v>
      </c>
      <c r="Z39" s="79">
        <f t="shared" si="12"/>
        <v>0</v>
      </c>
      <c r="AA39" s="79">
        <f t="shared" si="12"/>
        <v>0</v>
      </c>
      <c r="AB39" s="79">
        <f t="shared" si="12"/>
        <v>0</v>
      </c>
      <c r="AC39" s="79">
        <f t="shared" si="12"/>
        <v>0</v>
      </c>
      <c r="AD39" s="79">
        <f t="shared" si="12"/>
        <v>0</v>
      </c>
      <c r="AE39" s="79">
        <f t="shared" si="12"/>
        <v>0</v>
      </c>
      <c r="AF39" s="79">
        <f t="shared" si="12"/>
        <v>0</v>
      </c>
      <c r="AG39" s="79">
        <f t="shared" si="12"/>
        <v>0</v>
      </c>
      <c r="AH39" s="79">
        <f t="shared" si="13"/>
        <v>0</v>
      </c>
      <c r="AI39" s="79">
        <f t="shared" si="13"/>
        <v>0</v>
      </c>
      <c r="AJ39" s="79">
        <f t="shared" si="13"/>
        <v>0</v>
      </c>
      <c r="AK39" s="79">
        <f t="shared" si="13"/>
        <v>0</v>
      </c>
      <c r="AL39" s="79">
        <f t="shared" si="13"/>
        <v>0</v>
      </c>
    </row>
    <row r="40" spans="1:38" x14ac:dyDescent="0.25">
      <c r="A40" s="2">
        <f t="shared" si="0"/>
        <v>35</v>
      </c>
      <c r="B40" s="32">
        <v>29</v>
      </c>
      <c r="C40" s="78"/>
      <c r="D40" s="79">
        <f t="shared" si="10"/>
        <v>0</v>
      </c>
      <c r="E40" s="79">
        <f t="shared" si="10"/>
        <v>0</v>
      </c>
      <c r="F40" s="79">
        <f t="shared" si="10"/>
        <v>0</v>
      </c>
      <c r="G40" s="79">
        <f t="shared" si="10"/>
        <v>0</v>
      </c>
      <c r="H40" s="79">
        <f t="shared" si="10"/>
        <v>0</v>
      </c>
      <c r="I40" s="79">
        <f t="shared" si="10"/>
        <v>0</v>
      </c>
      <c r="J40" s="79">
        <f t="shared" si="10"/>
        <v>0</v>
      </c>
      <c r="K40" s="79">
        <f t="shared" si="10"/>
        <v>0</v>
      </c>
      <c r="L40" s="79">
        <f t="shared" si="10"/>
        <v>0</v>
      </c>
      <c r="M40" s="79">
        <f t="shared" si="10"/>
        <v>0</v>
      </c>
      <c r="N40" s="79">
        <f t="shared" si="11"/>
        <v>0</v>
      </c>
      <c r="O40" s="79">
        <f t="shared" si="11"/>
        <v>0</v>
      </c>
      <c r="P40" s="79">
        <f t="shared" si="11"/>
        <v>0</v>
      </c>
      <c r="Q40" s="79">
        <f t="shared" si="11"/>
        <v>0</v>
      </c>
      <c r="R40" s="79">
        <f t="shared" si="11"/>
        <v>0</v>
      </c>
      <c r="S40" s="79">
        <f t="shared" si="11"/>
        <v>0</v>
      </c>
      <c r="T40" s="79">
        <f t="shared" si="11"/>
        <v>0</v>
      </c>
      <c r="U40" s="79">
        <f t="shared" si="11"/>
        <v>0</v>
      </c>
      <c r="V40" s="79">
        <f t="shared" si="11"/>
        <v>0</v>
      </c>
      <c r="W40" s="79">
        <f t="shared" si="11"/>
        <v>0</v>
      </c>
      <c r="X40" s="79">
        <f t="shared" si="12"/>
        <v>0</v>
      </c>
      <c r="Y40" s="79">
        <f t="shared" si="12"/>
        <v>0</v>
      </c>
      <c r="Z40" s="79">
        <f t="shared" si="12"/>
        <v>0</v>
      </c>
      <c r="AA40" s="79">
        <f t="shared" si="12"/>
        <v>0</v>
      </c>
      <c r="AB40" s="79">
        <f t="shared" si="12"/>
        <v>0</v>
      </c>
      <c r="AC40" s="79">
        <f t="shared" si="12"/>
        <v>0</v>
      </c>
      <c r="AD40" s="79">
        <f t="shared" si="12"/>
        <v>0</v>
      </c>
      <c r="AE40" s="79">
        <f t="shared" si="12"/>
        <v>0</v>
      </c>
      <c r="AF40" s="79">
        <f t="shared" si="12"/>
        <v>0</v>
      </c>
      <c r="AG40" s="79">
        <f t="shared" si="12"/>
        <v>0</v>
      </c>
      <c r="AH40" s="79">
        <f t="shared" si="13"/>
        <v>0</v>
      </c>
      <c r="AI40" s="79">
        <f t="shared" si="13"/>
        <v>0</v>
      </c>
      <c r="AJ40" s="79">
        <f t="shared" si="13"/>
        <v>0</v>
      </c>
      <c r="AK40" s="79">
        <f t="shared" si="13"/>
        <v>0</v>
      </c>
      <c r="AL40" s="79">
        <f t="shared" si="13"/>
        <v>0</v>
      </c>
    </row>
    <row r="41" spans="1:38" x14ac:dyDescent="0.25">
      <c r="A41" s="2">
        <f t="shared" si="0"/>
        <v>35</v>
      </c>
      <c r="B41" s="32">
        <v>30</v>
      </c>
      <c r="C41" s="78"/>
      <c r="D41" s="79">
        <f t="shared" si="10"/>
        <v>0</v>
      </c>
      <c r="E41" s="79">
        <f t="shared" si="10"/>
        <v>0</v>
      </c>
      <c r="F41" s="79">
        <f t="shared" si="10"/>
        <v>0</v>
      </c>
      <c r="G41" s="79">
        <f t="shared" si="10"/>
        <v>0</v>
      </c>
      <c r="H41" s="79">
        <f t="shared" si="10"/>
        <v>0</v>
      </c>
      <c r="I41" s="79">
        <f t="shared" si="10"/>
        <v>0</v>
      </c>
      <c r="J41" s="79">
        <f t="shared" si="10"/>
        <v>0</v>
      </c>
      <c r="K41" s="79">
        <f t="shared" si="10"/>
        <v>0</v>
      </c>
      <c r="L41" s="79">
        <f t="shared" si="10"/>
        <v>0</v>
      </c>
      <c r="M41" s="79">
        <f t="shared" si="10"/>
        <v>0</v>
      </c>
      <c r="N41" s="79">
        <f t="shared" si="11"/>
        <v>0</v>
      </c>
      <c r="O41" s="79">
        <f t="shared" si="11"/>
        <v>0</v>
      </c>
      <c r="P41" s="79">
        <f t="shared" si="11"/>
        <v>0</v>
      </c>
      <c r="Q41" s="79">
        <f t="shared" si="11"/>
        <v>0</v>
      </c>
      <c r="R41" s="79">
        <f t="shared" si="11"/>
        <v>0</v>
      </c>
      <c r="S41" s="79">
        <f t="shared" si="11"/>
        <v>0</v>
      </c>
      <c r="T41" s="79">
        <f t="shared" si="11"/>
        <v>0</v>
      </c>
      <c r="U41" s="79">
        <f t="shared" si="11"/>
        <v>0</v>
      </c>
      <c r="V41" s="79">
        <f t="shared" si="11"/>
        <v>0</v>
      </c>
      <c r="W41" s="79">
        <f t="shared" si="11"/>
        <v>0</v>
      </c>
      <c r="X41" s="79">
        <f t="shared" si="12"/>
        <v>0</v>
      </c>
      <c r="Y41" s="79">
        <f t="shared" si="12"/>
        <v>0</v>
      </c>
      <c r="Z41" s="79">
        <f t="shared" si="12"/>
        <v>0</v>
      </c>
      <c r="AA41" s="79">
        <f t="shared" si="12"/>
        <v>0</v>
      </c>
      <c r="AB41" s="79">
        <f t="shared" si="12"/>
        <v>0</v>
      </c>
      <c r="AC41" s="79">
        <f t="shared" si="12"/>
        <v>0</v>
      </c>
      <c r="AD41" s="79">
        <f t="shared" si="12"/>
        <v>0</v>
      </c>
      <c r="AE41" s="79">
        <f t="shared" si="12"/>
        <v>0</v>
      </c>
      <c r="AF41" s="79">
        <f t="shared" si="12"/>
        <v>0</v>
      </c>
      <c r="AG41" s="79">
        <f t="shared" si="12"/>
        <v>0</v>
      </c>
      <c r="AH41" s="79">
        <f t="shared" si="13"/>
        <v>0</v>
      </c>
      <c r="AI41" s="79">
        <f t="shared" si="13"/>
        <v>0</v>
      </c>
      <c r="AJ41" s="79">
        <f t="shared" si="13"/>
        <v>0</v>
      </c>
      <c r="AK41" s="79">
        <f t="shared" si="13"/>
        <v>0</v>
      </c>
      <c r="AL41" s="79">
        <f t="shared" si="13"/>
        <v>0</v>
      </c>
    </row>
    <row r="42" spans="1:38" x14ac:dyDescent="0.25">
      <c r="A42" s="2">
        <f t="shared" si="0"/>
        <v>35</v>
      </c>
      <c r="B42" s="32">
        <v>31</v>
      </c>
      <c r="C42" s="78"/>
      <c r="D42" s="79">
        <f t="shared" si="10"/>
        <v>0</v>
      </c>
      <c r="E42" s="79">
        <f t="shared" si="10"/>
        <v>0</v>
      </c>
      <c r="F42" s="79">
        <f t="shared" si="10"/>
        <v>0</v>
      </c>
      <c r="G42" s="79">
        <f t="shared" si="10"/>
        <v>0</v>
      </c>
      <c r="H42" s="79">
        <f t="shared" si="10"/>
        <v>0</v>
      </c>
      <c r="I42" s="79">
        <f t="shared" si="10"/>
        <v>0</v>
      </c>
      <c r="J42" s="79">
        <f t="shared" si="10"/>
        <v>0</v>
      </c>
      <c r="K42" s="79">
        <f t="shared" si="10"/>
        <v>0</v>
      </c>
      <c r="L42" s="79">
        <f t="shared" si="10"/>
        <v>0</v>
      </c>
      <c r="M42" s="79">
        <f t="shared" si="10"/>
        <v>0</v>
      </c>
      <c r="N42" s="79">
        <f t="shared" si="11"/>
        <v>0</v>
      </c>
      <c r="O42" s="79">
        <f t="shared" si="11"/>
        <v>0</v>
      </c>
      <c r="P42" s="79">
        <f t="shared" si="11"/>
        <v>0</v>
      </c>
      <c r="Q42" s="79">
        <f t="shared" si="11"/>
        <v>0</v>
      </c>
      <c r="R42" s="79">
        <f t="shared" si="11"/>
        <v>0</v>
      </c>
      <c r="S42" s="79">
        <f t="shared" si="11"/>
        <v>0</v>
      </c>
      <c r="T42" s="79">
        <f t="shared" si="11"/>
        <v>0</v>
      </c>
      <c r="U42" s="79">
        <f t="shared" si="11"/>
        <v>0</v>
      </c>
      <c r="V42" s="79">
        <f t="shared" si="11"/>
        <v>0</v>
      </c>
      <c r="W42" s="79">
        <f t="shared" si="11"/>
        <v>0</v>
      </c>
      <c r="X42" s="79">
        <f t="shared" si="12"/>
        <v>0</v>
      </c>
      <c r="Y42" s="79">
        <f t="shared" si="12"/>
        <v>0</v>
      </c>
      <c r="Z42" s="79">
        <f t="shared" si="12"/>
        <v>0</v>
      </c>
      <c r="AA42" s="79">
        <f t="shared" si="12"/>
        <v>0</v>
      </c>
      <c r="AB42" s="79">
        <f t="shared" si="12"/>
        <v>0</v>
      </c>
      <c r="AC42" s="79">
        <f t="shared" si="12"/>
        <v>0</v>
      </c>
      <c r="AD42" s="79">
        <f t="shared" si="12"/>
        <v>0</v>
      </c>
      <c r="AE42" s="79">
        <f t="shared" si="12"/>
        <v>0</v>
      </c>
      <c r="AF42" s="79">
        <f t="shared" si="12"/>
        <v>0</v>
      </c>
      <c r="AG42" s="79">
        <f t="shared" si="12"/>
        <v>0</v>
      </c>
      <c r="AH42" s="79">
        <f t="shared" si="13"/>
        <v>0</v>
      </c>
      <c r="AI42" s="79">
        <f t="shared" si="13"/>
        <v>0</v>
      </c>
      <c r="AJ42" s="79">
        <f t="shared" si="13"/>
        <v>0</v>
      </c>
      <c r="AK42" s="79">
        <f t="shared" si="13"/>
        <v>0</v>
      </c>
      <c r="AL42" s="79">
        <f t="shared" si="13"/>
        <v>0</v>
      </c>
    </row>
    <row r="43" spans="1:38" x14ac:dyDescent="0.25">
      <c r="A43" s="2">
        <f t="shared" si="0"/>
        <v>35</v>
      </c>
      <c r="B43" s="32">
        <v>32</v>
      </c>
      <c r="C43" s="78"/>
      <c r="D43" s="79">
        <f t="shared" si="10"/>
        <v>0</v>
      </c>
      <c r="E43" s="79">
        <f t="shared" si="10"/>
        <v>0</v>
      </c>
      <c r="F43" s="79">
        <f t="shared" si="10"/>
        <v>0</v>
      </c>
      <c r="G43" s="79">
        <f t="shared" si="10"/>
        <v>0</v>
      </c>
      <c r="H43" s="79">
        <f t="shared" si="10"/>
        <v>0</v>
      </c>
      <c r="I43" s="79">
        <f t="shared" si="10"/>
        <v>0</v>
      </c>
      <c r="J43" s="79">
        <f t="shared" si="10"/>
        <v>0</v>
      </c>
      <c r="K43" s="79">
        <f t="shared" si="10"/>
        <v>0</v>
      </c>
      <c r="L43" s="79">
        <f t="shared" si="10"/>
        <v>0</v>
      </c>
      <c r="M43" s="79">
        <f t="shared" si="10"/>
        <v>0</v>
      </c>
      <c r="N43" s="79">
        <f t="shared" si="11"/>
        <v>0</v>
      </c>
      <c r="O43" s="79">
        <f t="shared" si="11"/>
        <v>0</v>
      </c>
      <c r="P43" s="79">
        <f t="shared" si="11"/>
        <v>0</v>
      </c>
      <c r="Q43" s="79">
        <f t="shared" si="11"/>
        <v>0</v>
      </c>
      <c r="R43" s="79">
        <f t="shared" si="11"/>
        <v>0</v>
      </c>
      <c r="S43" s="79">
        <f t="shared" si="11"/>
        <v>0</v>
      </c>
      <c r="T43" s="79">
        <f t="shared" si="11"/>
        <v>0</v>
      </c>
      <c r="U43" s="79">
        <f t="shared" si="11"/>
        <v>0</v>
      </c>
      <c r="V43" s="79">
        <f t="shared" si="11"/>
        <v>0</v>
      </c>
      <c r="W43" s="79">
        <f t="shared" si="11"/>
        <v>0</v>
      </c>
      <c r="X43" s="79">
        <f t="shared" si="12"/>
        <v>0</v>
      </c>
      <c r="Y43" s="79">
        <f t="shared" si="12"/>
        <v>0</v>
      </c>
      <c r="Z43" s="79">
        <f t="shared" si="12"/>
        <v>0</v>
      </c>
      <c r="AA43" s="79">
        <f t="shared" si="12"/>
        <v>0</v>
      </c>
      <c r="AB43" s="79">
        <f t="shared" si="12"/>
        <v>0</v>
      </c>
      <c r="AC43" s="79">
        <f t="shared" si="12"/>
        <v>0</v>
      </c>
      <c r="AD43" s="79">
        <f t="shared" si="12"/>
        <v>0</v>
      </c>
      <c r="AE43" s="79">
        <f t="shared" si="12"/>
        <v>0</v>
      </c>
      <c r="AF43" s="79">
        <f t="shared" si="12"/>
        <v>0</v>
      </c>
      <c r="AG43" s="79">
        <f t="shared" si="12"/>
        <v>0</v>
      </c>
      <c r="AH43" s="79">
        <f t="shared" si="13"/>
        <v>0</v>
      </c>
      <c r="AI43" s="79">
        <f t="shared" si="13"/>
        <v>0</v>
      </c>
      <c r="AJ43" s="79">
        <f t="shared" si="13"/>
        <v>0</v>
      </c>
      <c r="AK43" s="79">
        <f t="shared" si="13"/>
        <v>0</v>
      </c>
      <c r="AL43" s="79">
        <f t="shared" si="13"/>
        <v>0</v>
      </c>
    </row>
    <row r="44" spans="1:38" x14ac:dyDescent="0.25">
      <c r="A44" s="2">
        <f t="shared" si="0"/>
        <v>35</v>
      </c>
      <c r="B44" s="32">
        <v>33</v>
      </c>
      <c r="C44" s="78"/>
      <c r="D44" s="79">
        <f t="shared" si="10"/>
        <v>0</v>
      </c>
      <c r="E44" s="79">
        <f t="shared" si="10"/>
        <v>0</v>
      </c>
      <c r="F44" s="79">
        <f t="shared" si="10"/>
        <v>0</v>
      </c>
      <c r="G44" s="79">
        <f t="shared" si="10"/>
        <v>0</v>
      </c>
      <c r="H44" s="79">
        <f t="shared" si="10"/>
        <v>0</v>
      </c>
      <c r="I44" s="79">
        <f t="shared" si="10"/>
        <v>0</v>
      </c>
      <c r="J44" s="79">
        <f t="shared" si="10"/>
        <v>0</v>
      </c>
      <c r="K44" s="79">
        <f t="shared" si="10"/>
        <v>0</v>
      </c>
      <c r="L44" s="79">
        <f t="shared" si="10"/>
        <v>0</v>
      </c>
      <c r="M44" s="79">
        <f t="shared" si="10"/>
        <v>0</v>
      </c>
      <c r="N44" s="79">
        <f t="shared" si="11"/>
        <v>0</v>
      </c>
      <c r="O44" s="79">
        <f t="shared" si="11"/>
        <v>0</v>
      </c>
      <c r="P44" s="79">
        <f t="shared" si="11"/>
        <v>0</v>
      </c>
      <c r="Q44" s="79">
        <f t="shared" si="11"/>
        <v>0</v>
      </c>
      <c r="R44" s="79">
        <f t="shared" si="11"/>
        <v>0</v>
      </c>
      <c r="S44" s="79">
        <f t="shared" si="11"/>
        <v>0</v>
      </c>
      <c r="T44" s="79">
        <f t="shared" si="11"/>
        <v>0</v>
      </c>
      <c r="U44" s="79">
        <f t="shared" si="11"/>
        <v>0</v>
      </c>
      <c r="V44" s="79">
        <f t="shared" si="11"/>
        <v>0</v>
      </c>
      <c r="W44" s="79">
        <f t="shared" si="11"/>
        <v>0</v>
      </c>
      <c r="X44" s="79">
        <f t="shared" si="12"/>
        <v>0</v>
      </c>
      <c r="Y44" s="79">
        <f t="shared" si="12"/>
        <v>0</v>
      </c>
      <c r="Z44" s="79">
        <f t="shared" si="12"/>
        <v>0</v>
      </c>
      <c r="AA44" s="79">
        <f t="shared" si="12"/>
        <v>0</v>
      </c>
      <c r="AB44" s="79">
        <f t="shared" si="12"/>
        <v>0</v>
      </c>
      <c r="AC44" s="79">
        <f t="shared" si="12"/>
        <v>0</v>
      </c>
      <c r="AD44" s="79">
        <f t="shared" si="12"/>
        <v>0</v>
      </c>
      <c r="AE44" s="79">
        <f t="shared" si="12"/>
        <v>0</v>
      </c>
      <c r="AF44" s="79">
        <f t="shared" si="12"/>
        <v>0</v>
      </c>
      <c r="AG44" s="79">
        <f t="shared" si="12"/>
        <v>0</v>
      </c>
      <c r="AH44" s="79">
        <f t="shared" si="13"/>
        <v>0</v>
      </c>
      <c r="AI44" s="79">
        <f t="shared" si="13"/>
        <v>0</v>
      </c>
      <c r="AJ44" s="79">
        <f t="shared" si="13"/>
        <v>0</v>
      </c>
      <c r="AK44" s="79">
        <f t="shared" si="13"/>
        <v>0</v>
      </c>
      <c r="AL44" s="79">
        <f t="shared" si="13"/>
        <v>0</v>
      </c>
    </row>
    <row r="45" spans="1:38" x14ac:dyDescent="0.25">
      <c r="A45" s="2">
        <f t="shared" si="0"/>
        <v>35</v>
      </c>
      <c r="B45" s="32">
        <v>34</v>
      </c>
      <c r="C45" s="78"/>
      <c r="D45" s="79">
        <f t="shared" si="10"/>
        <v>0</v>
      </c>
      <c r="E45" s="79">
        <f t="shared" si="10"/>
        <v>0</v>
      </c>
      <c r="F45" s="79">
        <f t="shared" si="10"/>
        <v>0</v>
      </c>
      <c r="G45" s="79">
        <f t="shared" si="10"/>
        <v>0</v>
      </c>
      <c r="H45" s="79">
        <f t="shared" si="10"/>
        <v>0</v>
      </c>
      <c r="I45" s="79">
        <f t="shared" si="10"/>
        <v>0</v>
      </c>
      <c r="J45" s="79">
        <f t="shared" si="10"/>
        <v>0</v>
      </c>
      <c r="K45" s="79">
        <f t="shared" si="10"/>
        <v>0</v>
      </c>
      <c r="L45" s="79">
        <f t="shared" si="10"/>
        <v>0</v>
      </c>
      <c r="M45" s="79">
        <f t="shared" si="10"/>
        <v>0</v>
      </c>
      <c r="N45" s="79">
        <f t="shared" si="11"/>
        <v>0</v>
      </c>
      <c r="O45" s="79">
        <f t="shared" si="11"/>
        <v>0</v>
      </c>
      <c r="P45" s="79">
        <f t="shared" si="11"/>
        <v>0</v>
      </c>
      <c r="Q45" s="79">
        <f t="shared" si="11"/>
        <v>0</v>
      </c>
      <c r="R45" s="79">
        <f t="shared" si="11"/>
        <v>0</v>
      </c>
      <c r="S45" s="79">
        <f t="shared" si="11"/>
        <v>0</v>
      </c>
      <c r="T45" s="79">
        <f t="shared" si="11"/>
        <v>0</v>
      </c>
      <c r="U45" s="79">
        <f t="shared" si="11"/>
        <v>0</v>
      </c>
      <c r="V45" s="79">
        <f t="shared" si="11"/>
        <v>0</v>
      </c>
      <c r="W45" s="79">
        <f t="shared" si="11"/>
        <v>0</v>
      </c>
      <c r="X45" s="79">
        <f t="shared" si="12"/>
        <v>0</v>
      </c>
      <c r="Y45" s="79">
        <f t="shared" si="12"/>
        <v>0</v>
      </c>
      <c r="Z45" s="79">
        <f t="shared" si="12"/>
        <v>0</v>
      </c>
      <c r="AA45" s="79">
        <f t="shared" si="12"/>
        <v>0</v>
      </c>
      <c r="AB45" s="79">
        <f t="shared" si="12"/>
        <v>0</v>
      </c>
      <c r="AC45" s="79">
        <f t="shared" si="12"/>
        <v>0</v>
      </c>
      <c r="AD45" s="79">
        <f t="shared" si="12"/>
        <v>0</v>
      </c>
      <c r="AE45" s="79">
        <f t="shared" si="12"/>
        <v>0</v>
      </c>
      <c r="AF45" s="79">
        <f t="shared" si="12"/>
        <v>0</v>
      </c>
      <c r="AG45" s="79">
        <f t="shared" si="12"/>
        <v>0</v>
      </c>
      <c r="AH45" s="79">
        <f t="shared" si="13"/>
        <v>0</v>
      </c>
      <c r="AI45" s="79">
        <f t="shared" si="13"/>
        <v>0</v>
      </c>
      <c r="AJ45" s="79">
        <f t="shared" si="13"/>
        <v>0</v>
      </c>
      <c r="AK45" s="79">
        <f t="shared" si="13"/>
        <v>0</v>
      </c>
      <c r="AL45" s="79">
        <f t="shared" si="13"/>
        <v>0</v>
      </c>
    </row>
    <row r="46" spans="1:38" x14ac:dyDescent="0.25">
      <c r="A46" s="2">
        <f t="shared" si="0"/>
        <v>35</v>
      </c>
      <c r="B46" s="32">
        <v>35</v>
      </c>
      <c r="C46" s="78"/>
      <c r="D46" s="79">
        <f t="shared" si="10"/>
        <v>0</v>
      </c>
      <c r="E46" s="79">
        <f t="shared" si="10"/>
        <v>0</v>
      </c>
      <c r="F46" s="79">
        <f t="shared" si="10"/>
        <v>0</v>
      </c>
      <c r="G46" s="79">
        <f t="shared" si="10"/>
        <v>0</v>
      </c>
      <c r="H46" s="79">
        <f t="shared" si="10"/>
        <v>0</v>
      </c>
      <c r="I46" s="79">
        <f t="shared" si="10"/>
        <v>0</v>
      </c>
      <c r="J46" s="79">
        <f t="shared" si="10"/>
        <v>0</v>
      </c>
      <c r="K46" s="79">
        <f t="shared" si="10"/>
        <v>0</v>
      </c>
      <c r="L46" s="79">
        <f t="shared" si="10"/>
        <v>0</v>
      </c>
      <c r="M46" s="79">
        <f t="shared" si="10"/>
        <v>0</v>
      </c>
      <c r="N46" s="79">
        <f t="shared" si="11"/>
        <v>0</v>
      </c>
      <c r="O46" s="79">
        <f t="shared" si="11"/>
        <v>0</v>
      </c>
      <c r="P46" s="79">
        <f t="shared" si="11"/>
        <v>0</v>
      </c>
      <c r="Q46" s="79">
        <f t="shared" si="11"/>
        <v>0</v>
      </c>
      <c r="R46" s="79">
        <f t="shared" si="11"/>
        <v>0</v>
      </c>
      <c r="S46" s="79">
        <f t="shared" si="11"/>
        <v>0</v>
      </c>
      <c r="T46" s="79">
        <f t="shared" si="11"/>
        <v>0</v>
      </c>
      <c r="U46" s="79">
        <f t="shared" si="11"/>
        <v>0</v>
      </c>
      <c r="V46" s="79">
        <f t="shared" si="11"/>
        <v>0</v>
      </c>
      <c r="W46" s="79">
        <f t="shared" si="11"/>
        <v>0</v>
      </c>
      <c r="X46" s="79">
        <f t="shared" si="12"/>
        <v>0</v>
      </c>
      <c r="Y46" s="79">
        <f t="shared" si="12"/>
        <v>0</v>
      </c>
      <c r="Z46" s="79">
        <f t="shared" si="12"/>
        <v>0</v>
      </c>
      <c r="AA46" s="79">
        <f t="shared" si="12"/>
        <v>0</v>
      </c>
      <c r="AB46" s="79">
        <f t="shared" si="12"/>
        <v>0</v>
      </c>
      <c r="AC46" s="79">
        <f t="shared" si="12"/>
        <v>0</v>
      </c>
      <c r="AD46" s="79">
        <f t="shared" si="12"/>
        <v>0</v>
      </c>
      <c r="AE46" s="79">
        <f t="shared" si="12"/>
        <v>0</v>
      </c>
      <c r="AF46" s="79">
        <f t="shared" si="12"/>
        <v>0</v>
      </c>
      <c r="AG46" s="79">
        <f t="shared" si="12"/>
        <v>0</v>
      </c>
      <c r="AH46" s="79">
        <f t="shared" si="13"/>
        <v>0</v>
      </c>
      <c r="AI46" s="79">
        <f t="shared" si="13"/>
        <v>0</v>
      </c>
      <c r="AJ46" s="79">
        <f t="shared" si="13"/>
        <v>0</v>
      </c>
      <c r="AK46" s="79">
        <f t="shared" si="13"/>
        <v>0</v>
      </c>
      <c r="AL46" s="79">
        <f t="shared" si="13"/>
        <v>0</v>
      </c>
    </row>
    <row r="47" spans="1:38" x14ac:dyDescent="0.25">
      <c r="B47" s="77" t="s">
        <v>59</v>
      </c>
      <c r="C47" s="80">
        <f>SUM(D47:AL47)</f>
        <v>331764552.96000034</v>
      </c>
      <c r="D47" s="80">
        <f t="shared" ref="D47:AL47" si="14">SUM(D12:D46)</f>
        <v>0</v>
      </c>
      <c r="E47" s="80">
        <f t="shared" si="14"/>
        <v>2742354.9741721833</v>
      </c>
      <c r="F47" s="80">
        <f t="shared" si="14"/>
        <v>6011573.3844963592</v>
      </c>
      <c r="G47" s="80">
        <f t="shared" si="14"/>
        <v>8173521.7038173852</v>
      </c>
      <c r="H47" s="80">
        <f t="shared" si="14"/>
        <v>10479426.479887484</v>
      </c>
      <c r="I47" s="80">
        <f t="shared" si="14"/>
        <v>12968238.274603702</v>
      </c>
      <c r="J47" s="80">
        <f t="shared" si="14"/>
        <v>13270582.118400017</v>
      </c>
      <c r="K47" s="80">
        <f t="shared" si="14"/>
        <v>13270582.118400017</v>
      </c>
      <c r="L47" s="80">
        <f t="shared" si="14"/>
        <v>13270582.118400017</v>
      </c>
      <c r="M47" s="80">
        <f t="shared" si="14"/>
        <v>13270582.118400017</v>
      </c>
      <c r="N47" s="80">
        <f t="shared" si="14"/>
        <v>13270582.118400017</v>
      </c>
      <c r="O47" s="80">
        <f t="shared" si="14"/>
        <v>13270582.118400017</v>
      </c>
      <c r="P47" s="80">
        <f t="shared" si="14"/>
        <v>13270582.118400017</v>
      </c>
      <c r="Q47" s="80">
        <f t="shared" si="14"/>
        <v>13270582.118400017</v>
      </c>
      <c r="R47" s="80">
        <f t="shared" si="14"/>
        <v>13270582.118400017</v>
      </c>
      <c r="S47" s="80">
        <f t="shared" si="14"/>
        <v>13270582.118400017</v>
      </c>
      <c r="T47" s="80">
        <f t="shared" si="14"/>
        <v>13270582.118400017</v>
      </c>
      <c r="U47" s="80">
        <f t="shared" si="14"/>
        <v>13270582.118400017</v>
      </c>
      <c r="V47" s="80">
        <f t="shared" si="14"/>
        <v>13270582.118400017</v>
      </c>
      <c r="W47" s="80">
        <f t="shared" si="14"/>
        <v>13270582.118400017</v>
      </c>
      <c r="X47" s="80">
        <f t="shared" si="14"/>
        <v>13270582.118400017</v>
      </c>
      <c r="Y47" s="80">
        <f t="shared" si="14"/>
        <v>13270582.118400017</v>
      </c>
      <c r="Z47" s="80">
        <f t="shared" si="14"/>
        <v>13270582.118400017</v>
      </c>
      <c r="AA47" s="80">
        <f t="shared" si="14"/>
        <v>13270582.118400017</v>
      </c>
      <c r="AB47" s="80">
        <f t="shared" si="14"/>
        <v>13270582.118400017</v>
      </c>
      <c r="AC47" s="80">
        <f t="shared" si="14"/>
        <v>13270582.118400017</v>
      </c>
      <c r="AD47" s="80">
        <f t="shared" si="14"/>
        <v>10528227.144227831</v>
      </c>
      <c r="AE47" s="80">
        <f t="shared" si="14"/>
        <v>7259008.7339036567</v>
      </c>
      <c r="AF47" s="80">
        <f t="shared" si="14"/>
        <v>5097060.4145826306</v>
      </c>
      <c r="AG47" s="80">
        <f t="shared" si="14"/>
        <v>2791155.6385125322</v>
      </c>
      <c r="AH47" s="80">
        <f t="shared" si="14"/>
        <v>302343.84379631461</v>
      </c>
      <c r="AI47" s="80">
        <f t="shared" si="14"/>
        <v>0</v>
      </c>
      <c r="AJ47" s="80">
        <f t="shared" si="14"/>
        <v>0</v>
      </c>
      <c r="AK47" s="80">
        <f t="shared" si="14"/>
        <v>0</v>
      </c>
      <c r="AL47" s="80">
        <f t="shared" si="14"/>
        <v>0</v>
      </c>
    </row>
    <row r="49" spans="1:38" ht="31.5" customHeight="1" x14ac:dyDescent="0.25">
      <c r="A49" s="75"/>
      <c r="B49" s="69" t="s">
        <v>92</v>
      </c>
      <c r="C49" s="69"/>
      <c r="D49" s="69"/>
      <c r="E49" s="69"/>
      <c r="F49" s="69"/>
      <c r="G49" s="69"/>
      <c r="H49" s="35"/>
      <c r="I49" s="35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</row>
    <row r="50" spans="1:38" s="7" customFormat="1" ht="4.5" customHeight="1" thickBot="1" x14ac:dyDescent="0.3">
      <c r="B50" s="76"/>
      <c r="C50" s="76"/>
      <c r="D50" s="76"/>
      <c r="E50" s="76"/>
      <c r="F50" s="76"/>
      <c r="G50" s="76"/>
      <c r="H50" s="76"/>
      <c r="I50" s="76"/>
      <c r="J50" s="82"/>
      <c r="K50" s="83"/>
      <c r="L50" s="83"/>
      <c r="M50" s="83"/>
      <c r="N50" s="83"/>
      <c r="O50" s="83"/>
      <c r="P50" s="83"/>
      <c r="Q50" s="83"/>
      <c r="R50" s="83"/>
      <c r="S50" s="84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</row>
    <row r="51" spans="1:38" ht="15.75" thickTop="1" x14ac:dyDescent="0.25">
      <c r="B51" s="1"/>
    </row>
    <row r="52" spans="1:38" x14ac:dyDescent="0.25">
      <c r="B52" s="1" t="s">
        <v>93</v>
      </c>
      <c r="F52" s="2">
        <v>15</v>
      </c>
    </row>
    <row r="53" spans="1:38" ht="6.75" customHeight="1" x14ac:dyDescent="0.25">
      <c r="B53" s="1"/>
    </row>
    <row r="54" spans="1:38" x14ac:dyDescent="0.25">
      <c r="B54" s="77" t="s">
        <v>60</v>
      </c>
      <c r="C54" s="77" t="s">
        <v>79</v>
      </c>
      <c r="D54" s="77">
        <v>1</v>
      </c>
      <c r="E54" s="77">
        <v>2</v>
      </c>
      <c r="F54" s="77">
        <v>3</v>
      </c>
      <c r="G54" s="77">
        <v>4</v>
      </c>
      <c r="H54" s="77">
        <v>5</v>
      </c>
      <c r="I54" s="77">
        <v>6</v>
      </c>
      <c r="J54" s="77">
        <v>7</v>
      </c>
      <c r="K54" s="77">
        <v>8</v>
      </c>
      <c r="L54" s="77">
        <v>9</v>
      </c>
      <c r="M54" s="77">
        <v>10</v>
      </c>
      <c r="N54" s="77">
        <v>11</v>
      </c>
      <c r="O54" s="77">
        <v>12</v>
      </c>
      <c r="P54" s="77">
        <v>13</v>
      </c>
      <c r="Q54" s="77">
        <v>14</v>
      </c>
      <c r="R54" s="77">
        <v>15</v>
      </c>
      <c r="S54" s="77">
        <v>16</v>
      </c>
      <c r="T54" s="77">
        <v>17</v>
      </c>
      <c r="U54" s="77">
        <v>18</v>
      </c>
      <c r="V54" s="77">
        <v>19</v>
      </c>
      <c r="W54" s="77">
        <v>20</v>
      </c>
      <c r="X54" s="77">
        <v>21</v>
      </c>
      <c r="Y54" s="77">
        <v>22</v>
      </c>
      <c r="Z54" s="77">
        <v>23</v>
      </c>
      <c r="AA54" s="77">
        <v>24</v>
      </c>
      <c r="AB54" s="77">
        <v>25</v>
      </c>
      <c r="AC54" s="77">
        <v>26</v>
      </c>
      <c r="AD54" s="77">
        <v>27</v>
      </c>
      <c r="AE54" s="77">
        <v>28</v>
      </c>
      <c r="AF54" s="77">
        <v>29</v>
      </c>
      <c r="AG54" s="77">
        <v>30</v>
      </c>
      <c r="AH54" s="77">
        <v>31</v>
      </c>
      <c r="AI54" s="77">
        <v>32</v>
      </c>
      <c r="AJ54" s="77">
        <v>33</v>
      </c>
      <c r="AK54" s="77">
        <v>34</v>
      </c>
      <c r="AL54" s="77">
        <v>35</v>
      </c>
    </row>
    <row r="55" spans="1:38" x14ac:dyDescent="0.25">
      <c r="A55" s="2">
        <f t="shared" ref="A55:A89" si="15">IF($F$9+B55&lt;=35,$F$9+B55,35)</f>
        <v>26</v>
      </c>
      <c r="B55" s="32">
        <v>1</v>
      </c>
      <c r="C55" s="78">
        <f>-HLOOKUP(B55,'DemFin Proj'!$E$51:$O$58,8,FALSE)</f>
        <v>0</v>
      </c>
      <c r="D55" s="79">
        <f>IF(OR(D$54&lt;=$B55,D$54&gt;($B55+$F$52)),0,$C55/$F$52)</f>
        <v>0</v>
      </c>
      <c r="E55" s="79">
        <f t="shared" ref="E55:AL62" si="16">IF(OR(E$54&lt;=$B55,E$54&gt;($B55+$F$52)),0,$C55/$F$52)</f>
        <v>0</v>
      </c>
      <c r="F55" s="79">
        <f t="shared" si="16"/>
        <v>0</v>
      </c>
      <c r="G55" s="79">
        <f t="shared" si="16"/>
        <v>0</v>
      </c>
      <c r="H55" s="79">
        <f t="shared" si="16"/>
        <v>0</v>
      </c>
      <c r="I55" s="79">
        <f t="shared" si="16"/>
        <v>0</v>
      </c>
      <c r="J55" s="79">
        <f t="shared" si="16"/>
        <v>0</v>
      </c>
      <c r="K55" s="79">
        <f t="shared" si="16"/>
        <v>0</v>
      </c>
      <c r="L55" s="79">
        <f t="shared" si="16"/>
        <v>0</v>
      </c>
      <c r="M55" s="79">
        <f t="shared" si="16"/>
        <v>0</v>
      </c>
      <c r="N55" s="79">
        <f t="shared" si="16"/>
        <v>0</v>
      </c>
      <c r="O55" s="79">
        <f t="shared" si="16"/>
        <v>0</v>
      </c>
      <c r="P55" s="79">
        <f t="shared" si="16"/>
        <v>0</v>
      </c>
      <c r="Q55" s="79">
        <f t="shared" si="16"/>
        <v>0</v>
      </c>
      <c r="R55" s="79">
        <f t="shared" si="16"/>
        <v>0</v>
      </c>
      <c r="S55" s="79">
        <f t="shared" si="16"/>
        <v>0</v>
      </c>
      <c r="T55" s="79">
        <f t="shared" si="16"/>
        <v>0</v>
      </c>
      <c r="U55" s="79">
        <f t="shared" si="16"/>
        <v>0</v>
      </c>
      <c r="V55" s="79">
        <f t="shared" si="16"/>
        <v>0</v>
      </c>
      <c r="W55" s="79">
        <f t="shared" si="16"/>
        <v>0</v>
      </c>
      <c r="X55" s="79">
        <f t="shared" si="16"/>
        <v>0</v>
      </c>
      <c r="Y55" s="79">
        <f t="shared" si="16"/>
        <v>0</v>
      </c>
      <c r="Z55" s="79">
        <f t="shared" si="16"/>
        <v>0</v>
      </c>
      <c r="AA55" s="79">
        <f t="shared" si="16"/>
        <v>0</v>
      </c>
      <c r="AB55" s="79">
        <f t="shared" si="16"/>
        <v>0</v>
      </c>
      <c r="AC55" s="79">
        <f t="shared" si="16"/>
        <v>0</v>
      </c>
      <c r="AD55" s="79">
        <f t="shared" si="16"/>
        <v>0</v>
      </c>
      <c r="AE55" s="79">
        <f t="shared" si="16"/>
        <v>0</v>
      </c>
      <c r="AF55" s="79">
        <f t="shared" si="16"/>
        <v>0</v>
      </c>
      <c r="AG55" s="79">
        <f t="shared" si="16"/>
        <v>0</v>
      </c>
      <c r="AH55" s="79">
        <f t="shared" si="16"/>
        <v>0</v>
      </c>
      <c r="AI55" s="79">
        <f t="shared" si="16"/>
        <v>0</v>
      </c>
      <c r="AJ55" s="79">
        <f t="shared" si="16"/>
        <v>0</v>
      </c>
      <c r="AK55" s="79">
        <f t="shared" si="16"/>
        <v>0</v>
      </c>
      <c r="AL55" s="79">
        <f t="shared" si="16"/>
        <v>0</v>
      </c>
    </row>
    <row r="56" spans="1:38" x14ac:dyDescent="0.25">
      <c r="A56" s="2">
        <f t="shared" si="15"/>
        <v>27</v>
      </c>
      <c r="B56" s="32">
        <v>2</v>
      </c>
      <c r="C56" s="78">
        <f>-HLOOKUP(B56,'DemFin Proj'!$E$51:$O$58,8,FALSE)</f>
        <v>0</v>
      </c>
      <c r="D56" s="79">
        <f t="shared" ref="D56:S89" si="17">IF(OR(D$54&lt;=$B56,D$54&gt;($B56+$F$52)),0,$C56/$F$52)</f>
        <v>0</v>
      </c>
      <c r="E56" s="79">
        <f t="shared" si="17"/>
        <v>0</v>
      </c>
      <c r="F56" s="79">
        <f t="shared" si="17"/>
        <v>0</v>
      </c>
      <c r="G56" s="79">
        <f t="shared" si="17"/>
        <v>0</v>
      </c>
      <c r="H56" s="79">
        <f t="shared" si="17"/>
        <v>0</v>
      </c>
      <c r="I56" s="79">
        <f t="shared" si="17"/>
        <v>0</v>
      </c>
      <c r="J56" s="79">
        <f t="shared" si="17"/>
        <v>0</v>
      </c>
      <c r="K56" s="79">
        <f t="shared" si="17"/>
        <v>0</v>
      </c>
      <c r="L56" s="79">
        <f t="shared" si="17"/>
        <v>0</v>
      </c>
      <c r="M56" s="79">
        <f t="shared" si="17"/>
        <v>0</v>
      </c>
      <c r="N56" s="79">
        <f t="shared" si="17"/>
        <v>0</v>
      </c>
      <c r="O56" s="79">
        <f t="shared" si="17"/>
        <v>0</v>
      </c>
      <c r="P56" s="79">
        <f t="shared" si="17"/>
        <v>0</v>
      </c>
      <c r="Q56" s="79">
        <f t="shared" si="17"/>
        <v>0</v>
      </c>
      <c r="R56" s="79">
        <f t="shared" si="17"/>
        <v>0</v>
      </c>
      <c r="S56" s="79">
        <f t="shared" si="17"/>
        <v>0</v>
      </c>
      <c r="T56" s="79">
        <f t="shared" si="16"/>
        <v>0</v>
      </c>
      <c r="U56" s="79">
        <f t="shared" si="16"/>
        <v>0</v>
      </c>
      <c r="V56" s="79">
        <f t="shared" si="16"/>
        <v>0</v>
      </c>
      <c r="W56" s="79">
        <f t="shared" si="16"/>
        <v>0</v>
      </c>
      <c r="X56" s="79">
        <f t="shared" si="16"/>
        <v>0</v>
      </c>
      <c r="Y56" s="79">
        <f t="shared" si="16"/>
        <v>0</v>
      </c>
      <c r="Z56" s="79">
        <f t="shared" si="16"/>
        <v>0</v>
      </c>
      <c r="AA56" s="79">
        <f t="shared" si="16"/>
        <v>0</v>
      </c>
      <c r="AB56" s="79">
        <f t="shared" si="16"/>
        <v>0</v>
      </c>
      <c r="AC56" s="79">
        <f t="shared" si="16"/>
        <v>0</v>
      </c>
      <c r="AD56" s="79">
        <f t="shared" si="16"/>
        <v>0</v>
      </c>
      <c r="AE56" s="79">
        <f t="shared" si="16"/>
        <v>0</v>
      </c>
      <c r="AF56" s="79">
        <f t="shared" si="16"/>
        <v>0</v>
      </c>
      <c r="AG56" s="79">
        <f t="shared" si="16"/>
        <v>0</v>
      </c>
      <c r="AH56" s="79">
        <f t="shared" si="16"/>
        <v>0</v>
      </c>
      <c r="AI56" s="79">
        <f t="shared" si="16"/>
        <v>0</v>
      </c>
      <c r="AJ56" s="79">
        <f t="shared" si="16"/>
        <v>0</v>
      </c>
      <c r="AK56" s="79">
        <f t="shared" si="16"/>
        <v>0</v>
      </c>
      <c r="AL56" s="79">
        <f t="shared" si="16"/>
        <v>0</v>
      </c>
    </row>
    <row r="57" spans="1:38" x14ac:dyDescent="0.25">
      <c r="A57" s="2">
        <f t="shared" si="15"/>
        <v>28</v>
      </c>
      <c r="B57" s="32">
        <v>3</v>
      </c>
      <c r="C57" s="78">
        <f>-HLOOKUP(B57,'DemFin Proj'!$E$51:$O$58,8,FALSE)</f>
        <v>30101566.895480655</v>
      </c>
      <c r="D57" s="79">
        <f t="shared" si="17"/>
        <v>0</v>
      </c>
      <c r="E57" s="79">
        <f t="shared" si="16"/>
        <v>0</v>
      </c>
      <c r="F57" s="79">
        <f t="shared" si="16"/>
        <v>0</v>
      </c>
      <c r="G57" s="79">
        <f t="shared" si="16"/>
        <v>2006771.1263653771</v>
      </c>
      <c r="H57" s="79">
        <f t="shared" si="16"/>
        <v>2006771.1263653771</v>
      </c>
      <c r="I57" s="79">
        <f t="shared" si="16"/>
        <v>2006771.1263653771</v>
      </c>
      <c r="J57" s="79">
        <f t="shared" si="16"/>
        <v>2006771.1263653771</v>
      </c>
      <c r="K57" s="79">
        <f t="shared" si="16"/>
        <v>2006771.1263653771</v>
      </c>
      <c r="L57" s="79">
        <f t="shared" si="16"/>
        <v>2006771.1263653771</v>
      </c>
      <c r="M57" s="79">
        <f t="shared" si="16"/>
        <v>2006771.1263653771</v>
      </c>
      <c r="N57" s="79">
        <f t="shared" si="16"/>
        <v>2006771.1263653771</v>
      </c>
      <c r="O57" s="79">
        <f t="shared" si="16"/>
        <v>2006771.1263653771</v>
      </c>
      <c r="P57" s="79">
        <f t="shared" si="16"/>
        <v>2006771.1263653771</v>
      </c>
      <c r="Q57" s="79">
        <f t="shared" si="16"/>
        <v>2006771.1263653771</v>
      </c>
      <c r="R57" s="79">
        <f t="shared" si="16"/>
        <v>2006771.1263653771</v>
      </c>
      <c r="S57" s="79">
        <f t="shared" si="16"/>
        <v>2006771.1263653771</v>
      </c>
      <c r="T57" s="79">
        <f t="shared" si="16"/>
        <v>2006771.1263653771</v>
      </c>
      <c r="U57" s="79">
        <f t="shared" si="16"/>
        <v>2006771.1263653771</v>
      </c>
      <c r="V57" s="79">
        <f t="shared" si="16"/>
        <v>0</v>
      </c>
      <c r="W57" s="79">
        <f t="shared" si="16"/>
        <v>0</v>
      </c>
      <c r="X57" s="79">
        <f t="shared" si="16"/>
        <v>0</v>
      </c>
      <c r="Y57" s="79">
        <f t="shared" si="16"/>
        <v>0</v>
      </c>
      <c r="Z57" s="79">
        <f t="shared" si="16"/>
        <v>0</v>
      </c>
      <c r="AA57" s="79">
        <f t="shared" si="16"/>
        <v>0</v>
      </c>
      <c r="AB57" s="79">
        <f t="shared" si="16"/>
        <v>0</v>
      </c>
      <c r="AC57" s="79">
        <f t="shared" si="16"/>
        <v>0</v>
      </c>
      <c r="AD57" s="79">
        <f t="shared" si="16"/>
        <v>0</v>
      </c>
      <c r="AE57" s="79">
        <f t="shared" si="16"/>
        <v>0</v>
      </c>
      <c r="AF57" s="79">
        <f t="shared" si="16"/>
        <v>0</v>
      </c>
      <c r="AG57" s="79">
        <f t="shared" si="16"/>
        <v>0</v>
      </c>
      <c r="AH57" s="79">
        <f t="shared" si="16"/>
        <v>0</v>
      </c>
      <c r="AI57" s="79">
        <f t="shared" si="16"/>
        <v>0</v>
      </c>
      <c r="AJ57" s="79">
        <f t="shared" si="16"/>
        <v>0</v>
      </c>
      <c r="AK57" s="79">
        <f t="shared" si="16"/>
        <v>0</v>
      </c>
      <c r="AL57" s="79">
        <f t="shared" si="16"/>
        <v>0</v>
      </c>
    </row>
    <row r="58" spans="1:38" x14ac:dyDescent="0.25">
      <c r="A58" s="2">
        <f t="shared" si="15"/>
        <v>29</v>
      </c>
      <c r="B58" s="32">
        <v>4</v>
      </c>
      <c r="C58" s="78">
        <f>-HLOOKUP(B58,'DemFin Proj'!$E$51:$O$58,8,FALSE)</f>
        <v>108474114.93866906</v>
      </c>
      <c r="D58" s="79">
        <f t="shared" si="17"/>
        <v>0</v>
      </c>
      <c r="E58" s="79">
        <f t="shared" si="16"/>
        <v>0</v>
      </c>
      <c r="F58" s="79">
        <f t="shared" si="16"/>
        <v>0</v>
      </c>
      <c r="G58" s="79">
        <f t="shared" si="16"/>
        <v>0</v>
      </c>
      <c r="H58" s="79">
        <f t="shared" si="16"/>
        <v>7231607.6625779374</v>
      </c>
      <c r="I58" s="79">
        <f t="shared" si="16"/>
        <v>7231607.6625779374</v>
      </c>
      <c r="J58" s="79">
        <f t="shared" si="16"/>
        <v>7231607.6625779374</v>
      </c>
      <c r="K58" s="79">
        <f t="shared" si="16"/>
        <v>7231607.6625779374</v>
      </c>
      <c r="L58" s="79">
        <f t="shared" si="16"/>
        <v>7231607.6625779374</v>
      </c>
      <c r="M58" s="79">
        <f t="shared" si="16"/>
        <v>7231607.6625779374</v>
      </c>
      <c r="N58" s="79">
        <f t="shared" si="16"/>
        <v>7231607.6625779374</v>
      </c>
      <c r="O58" s="79">
        <f t="shared" si="16"/>
        <v>7231607.6625779374</v>
      </c>
      <c r="P58" s="79">
        <f t="shared" si="16"/>
        <v>7231607.6625779374</v>
      </c>
      <c r="Q58" s="79">
        <f t="shared" si="16"/>
        <v>7231607.6625779374</v>
      </c>
      <c r="R58" s="79">
        <f t="shared" si="16"/>
        <v>7231607.6625779374</v>
      </c>
      <c r="S58" s="79">
        <f t="shared" si="16"/>
        <v>7231607.6625779374</v>
      </c>
      <c r="T58" s="79">
        <f t="shared" si="16"/>
        <v>7231607.6625779374</v>
      </c>
      <c r="U58" s="79">
        <f t="shared" si="16"/>
        <v>7231607.6625779374</v>
      </c>
      <c r="V58" s="79">
        <f t="shared" si="16"/>
        <v>7231607.6625779374</v>
      </c>
      <c r="W58" s="79">
        <f t="shared" si="16"/>
        <v>0</v>
      </c>
      <c r="X58" s="79">
        <f t="shared" si="16"/>
        <v>0</v>
      </c>
      <c r="Y58" s="79">
        <f t="shared" si="16"/>
        <v>0</v>
      </c>
      <c r="Z58" s="79">
        <f t="shared" si="16"/>
        <v>0</v>
      </c>
      <c r="AA58" s="79">
        <f t="shared" si="16"/>
        <v>0</v>
      </c>
      <c r="AB58" s="79">
        <f t="shared" si="16"/>
        <v>0</v>
      </c>
      <c r="AC58" s="79">
        <f t="shared" si="16"/>
        <v>0</v>
      </c>
      <c r="AD58" s="79">
        <f t="shared" si="16"/>
        <v>0</v>
      </c>
      <c r="AE58" s="79">
        <f t="shared" si="16"/>
        <v>0</v>
      </c>
      <c r="AF58" s="79">
        <f t="shared" si="16"/>
        <v>0</v>
      </c>
      <c r="AG58" s="79">
        <f t="shared" si="16"/>
        <v>0</v>
      </c>
      <c r="AH58" s="79">
        <f t="shared" si="16"/>
        <v>0</v>
      </c>
      <c r="AI58" s="79">
        <f t="shared" si="16"/>
        <v>0</v>
      </c>
      <c r="AJ58" s="79">
        <f t="shared" si="16"/>
        <v>0</v>
      </c>
      <c r="AK58" s="79">
        <f t="shared" si="16"/>
        <v>0</v>
      </c>
      <c r="AL58" s="79">
        <f t="shared" si="16"/>
        <v>0</v>
      </c>
    </row>
    <row r="59" spans="1:38" x14ac:dyDescent="0.25">
      <c r="A59" s="2">
        <f t="shared" si="15"/>
        <v>30</v>
      </c>
      <c r="B59" s="32">
        <v>5</v>
      </c>
      <c r="C59" s="78">
        <f>-HLOOKUP(B59,'DemFin Proj'!$E$51:$O$58,8,FALSE)</f>
        <v>81545415.905144438</v>
      </c>
      <c r="D59" s="79">
        <f t="shared" si="17"/>
        <v>0</v>
      </c>
      <c r="E59" s="79">
        <f t="shared" si="16"/>
        <v>0</v>
      </c>
      <c r="F59" s="79">
        <f t="shared" si="16"/>
        <v>0</v>
      </c>
      <c r="G59" s="79">
        <f t="shared" si="16"/>
        <v>0</v>
      </c>
      <c r="H59" s="79">
        <f t="shared" si="16"/>
        <v>0</v>
      </c>
      <c r="I59" s="79">
        <f t="shared" si="16"/>
        <v>5436361.0603429629</v>
      </c>
      <c r="J59" s="79">
        <f t="shared" si="16"/>
        <v>5436361.0603429629</v>
      </c>
      <c r="K59" s="79">
        <f t="shared" si="16"/>
        <v>5436361.0603429629</v>
      </c>
      <c r="L59" s="79">
        <f t="shared" si="16"/>
        <v>5436361.0603429629</v>
      </c>
      <c r="M59" s="79">
        <f t="shared" si="16"/>
        <v>5436361.0603429629</v>
      </c>
      <c r="N59" s="79">
        <f t="shared" si="16"/>
        <v>5436361.0603429629</v>
      </c>
      <c r="O59" s="79">
        <f t="shared" si="16"/>
        <v>5436361.0603429629</v>
      </c>
      <c r="P59" s="79">
        <f t="shared" si="16"/>
        <v>5436361.0603429629</v>
      </c>
      <c r="Q59" s="79">
        <f t="shared" si="16"/>
        <v>5436361.0603429629</v>
      </c>
      <c r="R59" s="79">
        <f t="shared" si="16"/>
        <v>5436361.0603429629</v>
      </c>
      <c r="S59" s="79">
        <f t="shared" si="16"/>
        <v>5436361.0603429629</v>
      </c>
      <c r="T59" s="79">
        <f t="shared" si="16"/>
        <v>5436361.0603429629</v>
      </c>
      <c r="U59" s="79">
        <f t="shared" si="16"/>
        <v>5436361.0603429629</v>
      </c>
      <c r="V59" s="79">
        <f t="shared" si="16"/>
        <v>5436361.0603429629</v>
      </c>
      <c r="W59" s="79">
        <f t="shared" si="16"/>
        <v>5436361.0603429629</v>
      </c>
      <c r="X59" s="79">
        <f t="shared" si="16"/>
        <v>0</v>
      </c>
      <c r="Y59" s="79">
        <f t="shared" si="16"/>
        <v>0</v>
      </c>
      <c r="Z59" s="79">
        <f t="shared" si="16"/>
        <v>0</v>
      </c>
      <c r="AA59" s="79">
        <f t="shared" si="16"/>
        <v>0</v>
      </c>
      <c r="AB59" s="79">
        <f t="shared" si="16"/>
        <v>0</v>
      </c>
      <c r="AC59" s="79">
        <f t="shared" si="16"/>
        <v>0</v>
      </c>
      <c r="AD59" s="79">
        <f t="shared" si="16"/>
        <v>0</v>
      </c>
      <c r="AE59" s="79">
        <f t="shared" si="16"/>
        <v>0</v>
      </c>
      <c r="AF59" s="79">
        <f t="shared" si="16"/>
        <v>0</v>
      </c>
      <c r="AG59" s="79">
        <f t="shared" si="16"/>
        <v>0</v>
      </c>
      <c r="AH59" s="79">
        <f t="shared" si="16"/>
        <v>0</v>
      </c>
      <c r="AI59" s="79">
        <f t="shared" si="16"/>
        <v>0</v>
      </c>
      <c r="AJ59" s="79">
        <f t="shared" si="16"/>
        <v>0</v>
      </c>
      <c r="AK59" s="79">
        <f t="shared" si="16"/>
        <v>0</v>
      </c>
      <c r="AL59" s="79">
        <f t="shared" si="16"/>
        <v>0</v>
      </c>
    </row>
    <row r="60" spans="1:38" x14ac:dyDescent="0.25">
      <c r="A60" s="2">
        <f t="shared" si="15"/>
        <v>31</v>
      </c>
      <c r="B60" s="32">
        <v>6</v>
      </c>
      <c r="C60" s="78">
        <f>-HLOOKUP(B60,'DemFin Proj'!$E$51:$O$58,8,FALSE)</f>
        <v>110182582.24895306</v>
      </c>
      <c r="D60" s="79">
        <f t="shared" si="17"/>
        <v>0</v>
      </c>
      <c r="E60" s="79">
        <f t="shared" si="16"/>
        <v>0</v>
      </c>
      <c r="F60" s="79">
        <f t="shared" si="16"/>
        <v>0</v>
      </c>
      <c r="G60" s="79">
        <f t="shared" si="16"/>
        <v>0</v>
      </c>
      <c r="H60" s="79">
        <f t="shared" si="16"/>
        <v>0</v>
      </c>
      <c r="I60" s="79">
        <f t="shared" si="16"/>
        <v>0</v>
      </c>
      <c r="J60" s="79">
        <f t="shared" si="16"/>
        <v>7345505.4832635373</v>
      </c>
      <c r="K60" s="79">
        <f t="shared" si="16"/>
        <v>7345505.4832635373</v>
      </c>
      <c r="L60" s="79">
        <f t="shared" si="16"/>
        <v>7345505.4832635373</v>
      </c>
      <c r="M60" s="79">
        <f t="shared" si="16"/>
        <v>7345505.4832635373</v>
      </c>
      <c r="N60" s="79">
        <f t="shared" si="16"/>
        <v>7345505.4832635373</v>
      </c>
      <c r="O60" s="79">
        <f t="shared" si="16"/>
        <v>7345505.4832635373</v>
      </c>
      <c r="P60" s="79">
        <f t="shared" si="16"/>
        <v>7345505.4832635373</v>
      </c>
      <c r="Q60" s="79">
        <f t="shared" si="16"/>
        <v>7345505.4832635373</v>
      </c>
      <c r="R60" s="79">
        <f t="shared" si="16"/>
        <v>7345505.4832635373</v>
      </c>
      <c r="S60" s="79">
        <f t="shared" si="16"/>
        <v>7345505.4832635373</v>
      </c>
      <c r="T60" s="79">
        <f t="shared" si="16"/>
        <v>7345505.4832635373</v>
      </c>
      <c r="U60" s="79">
        <f t="shared" si="16"/>
        <v>7345505.4832635373</v>
      </c>
      <c r="V60" s="79">
        <f t="shared" si="16"/>
        <v>7345505.4832635373</v>
      </c>
      <c r="W60" s="79">
        <f t="shared" si="16"/>
        <v>7345505.4832635373</v>
      </c>
      <c r="X60" s="79">
        <f t="shared" si="16"/>
        <v>7345505.4832635373</v>
      </c>
      <c r="Y60" s="79">
        <f t="shared" si="16"/>
        <v>0</v>
      </c>
      <c r="Z60" s="79">
        <f t="shared" si="16"/>
        <v>0</v>
      </c>
      <c r="AA60" s="79">
        <f t="shared" si="16"/>
        <v>0</v>
      </c>
      <c r="AB60" s="79">
        <f t="shared" si="16"/>
        <v>0</v>
      </c>
      <c r="AC60" s="79">
        <f t="shared" si="16"/>
        <v>0</v>
      </c>
      <c r="AD60" s="79">
        <f t="shared" si="16"/>
        <v>0</v>
      </c>
      <c r="AE60" s="79">
        <f t="shared" si="16"/>
        <v>0</v>
      </c>
      <c r="AF60" s="79">
        <f t="shared" si="16"/>
        <v>0</v>
      </c>
      <c r="AG60" s="79">
        <f t="shared" si="16"/>
        <v>0</v>
      </c>
      <c r="AH60" s="79">
        <f t="shared" si="16"/>
        <v>0</v>
      </c>
      <c r="AI60" s="79">
        <f t="shared" si="16"/>
        <v>0</v>
      </c>
      <c r="AJ60" s="79">
        <f t="shared" si="16"/>
        <v>0</v>
      </c>
      <c r="AK60" s="79">
        <f t="shared" si="16"/>
        <v>0</v>
      </c>
      <c r="AL60" s="79">
        <f t="shared" si="16"/>
        <v>0</v>
      </c>
    </row>
    <row r="61" spans="1:38" x14ac:dyDescent="0.25">
      <c r="A61" s="2">
        <f t="shared" si="15"/>
        <v>32</v>
      </c>
      <c r="B61" s="32">
        <v>7</v>
      </c>
      <c r="C61" s="78">
        <f>-HLOOKUP(B61,'DemFin Proj'!$E$51:$O$58,8,FALSE)</f>
        <v>34304938.849354073</v>
      </c>
      <c r="D61" s="79">
        <f t="shared" si="17"/>
        <v>0</v>
      </c>
      <c r="E61" s="79">
        <f t="shared" si="16"/>
        <v>0</v>
      </c>
      <c r="F61" s="79">
        <f t="shared" si="16"/>
        <v>0</v>
      </c>
      <c r="G61" s="79">
        <f t="shared" si="16"/>
        <v>0</v>
      </c>
      <c r="H61" s="79">
        <f t="shared" si="16"/>
        <v>0</v>
      </c>
      <c r="I61" s="79">
        <f t="shared" si="16"/>
        <v>0</v>
      </c>
      <c r="J61" s="79">
        <f t="shared" si="16"/>
        <v>0</v>
      </c>
      <c r="K61" s="79">
        <f t="shared" si="16"/>
        <v>2286995.9232902718</v>
      </c>
      <c r="L61" s="79">
        <f t="shared" si="16"/>
        <v>2286995.9232902718</v>
      </c>
      <c r="M61" s="79">
        <f t="shared" si="16"/>
        <v>2286995.9232902718</v>
      </c>
      <c r="N61" s="79">
        <f t="shared" si="16"/>
        <v>2286995.9232902718</v>
      </c>
      <c r="O61" s="79">
        <f t="shared" si="16"/>
        <v>2286995.9232902718</v>
      </c>
      <c r="P61" s="79">
        <f t="shared" si="16"/>
        <v>2286995.9232902718</v>
      </c>
      <c r="Q61" s="79">
        <f t="shared" si="16"/>
        <v>2286995.9232902718</v>
      </c>
      <c r="R61" s="79">
        <f t="shared" si="16"/>
        <v>2286995.9232902718</v>
      </c>
      <c r="S61" s="79">
        <f t="shared" si="16"/>
        <v>2286995.9232902718</v>
      </c>
      <c r="T61" s="79">
        <f t="shared" si="16"/>
        <v>2286995.9232902718</v>
      </c>
      <c r="U61" s="79">
        <f t="shared" si="16"/>
        <v>2286995.9232902718</v>
      </c>
      <c r="V61" s="79">
        <f t="shared" si="16"/>
        <v>2286995.9232902718</v>
      </c>
      <c r="W61" s="79">
        <f t="shared" si="16"/>
        <v>2286995.9232902718</v>
      </c>
      <c r="X61" s="79">
        <f t="shared" si="16"/>
        <v>2286995.9232902718</v>
      </c>
      <c r="Y61" s="79">
        <f t="shared" si="16"/>
        <v>2286995.9232902718</v>
      </c>
      <c r="Z61" s="79">
        <f t="shared" si="16"/>
        <v>0</v>
      </c>
      <c r="AA61" s="79">
        <f t="shared" si="16"/>
        <v>0</v>
      </c>
      <c r="AB61" s="79">
        <f t="shared" si="16"/>
        <v>0</v>
      </c>
      <c r="AC61" s="79">
        <f t="shared" si="16"/>
        <v>0</v>
      </c>
      <c r="AD61" s="79">
        <f t="shared" si="16"/>
        <v>0</v>
      </c>
      <c r="AE61" s="79">
        <f t="shared" si="16"/>
        <v>0</v>
      </c>
      <c r="AF61" s="79">
        <f t="shared" si="16"/>
        <v>0</v>
      </c>
      <c r="AG61" s="79">
        <f t="shared" si="16"/>
        <v>0</v>
      </c>
      <c r="AH61" s="79">
        <f t="shared" si="16"/>
        <v>0</v>
      </c>
      <c r="AI61" s="79">
        <f t="shared" si="16"/>
        <v>0</v>
      </c>
      <c r="AJ61" s="79">
        <f t="shared" si="16"/>
        <v>0</v>
      </c>
      <c r="AK61" s="79">
        <f t="shared" si="16"/>
        <v>0</v>
      </c>
      <c r="AL61" s="79">
        <f t="shared" si="16"/>
        <v>0</v>
      </c>
    </row>
    <row r="62" spans="1:38" x14ac:dyDescent="0.25">
      <c r="A62" s="2">
        <f t="shared" si="15"/>
        <v>33</v>
      </c>
      <c r="B62" s="32">
        <v>8</v>
      </c>
      <c r="C62" s="78">
        <f>-HLOOKUP(B62,'DemFin Proj'!$E$51:$O$58,8,FALSE)</f>
        <v>0</v>
      </c>
      <c r="D62" s="79">
        <f t="shared" si="17"/>
        <v>0</v>
      </c>
      <c r="E62" s="79">
        <f t="shared" si="16"/>
        <v>0</v>
      </c>
      <c r="F62" s="79">
        <f t="shared" si="16"/>
        <v>0</v>
      </c>
      <c r="G62" s="79">
        <f t="shared" si="16"/>
        <v>0</v>
      </c>
      <c r="H62" s="79">
        <f t="shared" si="16"/>
        <v>0</v>
      </c>
      <c r="I62" s="79">
        <f t="shared" si="16"/>
        <v>0</v>
      </c>
      <c r="J62" s="79">
        <f t="shared" si="16"/>
        <v>0</v>
      </c>
      <c r="K62" s="79">
        <f t="shared" si="16"/>
        <v>0</v>
      </c>
      <c r="L62" s="79">
        <f t="shared" si="16"/>
        <v>0</v>
      </c>
      <c r="M62" s="79">
        <f t="shared" si="16"/>
        <v>0</v>
      </c>
      <c r="N62" s="79">
        <f t="shared" si="16"/>
        <v>0</v>
      </c>
      <c r="O62" s="79">
        <f t="shared" si="16"/>
        <v>0</v>
      </c>
      <c r="P62" s="79">
        <f t="shared" si="16"/>
        <v>0</v>
      </c>
      <c r="Q62" s="79">
        <f t="shared" si="16"/>
        <v>0</v>
      </c>
      <c r="R62" s="79">
        <f t="shared" si="16"/>
        <v>0</v>
      </c>
      <c r="S62" s="79">
        <f t="shared" si="16"/>
        <v>0</v>
      </c>
      <c r="T62" s="79">
        <f t="shared" si="16"/>
        <v>0</v>
      </c>
      <c r="U62" s="79">
        <f t="shared" si="16"/>
        <v>0</v>
      </c>
      <c r="V62" s="79">
        <f t="shared" si="16"/>
        <v>0</v>
      </c>
      <c r="W62" s="79">
        <f t="shared" si="16"/>
        <v>0</v>
      </c>
      <c r="X62" s="79">
        <f t="shared" si="16"/>
        <v>0</v>
      </c>
      <c r="Y62" s="79">
        <f t="shared" si="16"/>
        <v>0</v>
      </c>
      <c r="Z62" s="79">
        <f t="shared" si="16"/>
        <v>0</v>
      </c>
      <c r="AA62" s="79">
        <f t="shared" si="16"/>
        <v>0</v>
      </c>
      <c r="AB62" s="79">
        <f t="shared" si="16"/>
        <v>0</v>
      </c>
      <c r="AC62" s="79">
        <f t="shared" si="16"/>
        <v>0</v>
      </c>
      <c r="AD62" s="79">
        <f t="shared" si="16"/>
        <v>0</v>
      </c>
      <c r="AE62" s="79">
        <f t="shared" si="16"/>
        <v>0</v>
      </c>
      <c r="AF62" s="79">
        <f t="shared" si="16"/>
        <v>0</v>
      </c>
      <c r="AG62" s="79">
        <f t="shared" si="16"/>
        <v>0</v>
      </c>
      <c r="AH62" s="79">
        <f t="shared" si="16"/>
        <v>0</v>
      </c>
      <c r="AI62" s="79">
        <f t="shared" si="16"/>
        <v>0</v>
      </c>
      <c r="AJ62" s="79">
        <f t="shared" si="16"/>
        <v>0</v>
      </c>
      <c r="AK62" s="79">
        <f t="shared" ref="E62:AL70" si="18">IF(OR(AK$54&lt;=$B62,AK$54&gt;($B62+$F$52)),0,$C62/$F$52)</f>
        <v>0</v>
      </c>
      <c r="AL62" s="79">
        <f t="shared" si="18"/>
        <v>0</v>
      </c>
    </row>
    <row r="63" spans="1:38" x14ac:dyDescent="0.25">
      <c r="A63" s="2">
        <f t="shared" si="15"/>
        <v>34</v>
      </c>
      <c r="B63" s="32">
        <v>9</v>
      </c>
      <c r="C63" s="78">
        <f>-HLOOKUP(B63,'DemFin Proj'!$E$51:$O$58,8,FALSE)</f>
        <v>0</v>
      </c>
      <c r="D63" s="79">
        <f t="shared" si="17"/>
        <v>0</v>
      </c>
      <c r="E63" s="79">
        <f t="shared" si="18"/>
        <v>0</v>
      </c>
      <c r="F63" s="79">
        <f t="shared" si="18"/>
        <v>0</v>
      </c>
      <c r="G63" s="79">
        <f t="shared" si="18"/>
        <v>0</v>
      </c>
      <c r="H63" s="79">
        <f t="shared" si="18"/>
        <v>0</v>
      </c>
      <c r="I63" s="79">
        <f t="shared" si="18"/>
        <v>0</v>
      </c>
      <c r="J63" s="79">
        <f t="shared" si="18"/>
        <v>0</v>
      </c>
      <c r="K63" s="79">
        <f t="shared" si="18"/>
        <v>0</v>
      </c>
      <c r="L63" s="79">
        <f t="shared" si="18"/>
        <v>0</v>
      </c>
      <c r="M63" s="79">
        <f t="shared" si="18"/>
        <v>0</v>
      </c>
      <c r="N63" s="79">
        <f t="shared" si="18"/>
        <v>0</v>
      </c>
      <c r="O63" s="79">
        <f t="shared" si="18"/>
        <v>0</v>
      </c>
      <c r="P63" s="79">
        <f t="shared" si="18"/>
        <v>0</v>
      </c>
      <c r="Q63" s="79">
        <f t="shared" si="18"/>
        <v>0</v>
      </c>
      <c r="R63" s="79">
        <f t="shared" si="18"/>
        <v>0</v>
      </c>
      <c r="S63" s="79">
        <f t="shared" si="18"/>
        <v>0</v>
      </c>
      <c r="T63" s="79">
        <f t="shared" si="18"/>
        <v>0</v>
      </c>
      <c r="U63" s="79">
        <f t="shared" si="18"/>
        <v>0</v>
      </c>
      <c r="V63" s="79">
        <f t="shared" si="18"/>
        <v>0</v>
      </c>
      <c r="W63" s="79">
        <f t="shared" si="18"/>
        <v>0</v>
      </c>
      <c r="X63" s="79">
        <f t="shared" si="18"/>
        <v>0</v>
      </c>
      <c r="Y63" s="79">
        <f t="shared" si="18"/>
        <v>0</v>
      </c>
      <c r="Z63" s="79">
        <f t="shared" si="18"/>
        <v>0</v>
      </c>
      <c r="AA63" s="79">
        <f t="shared" si="18"/>
        <v>0</v>
      </c>
      <c r="AB63" s="79">
        <f t="shared" si="18"/>
        <v>0</v>
      </c>
      <c r="AC63" s="79">
        <f t="shared" si="18"/>
        <v>0</v>
      </c>
      <c r="AD63" s="79">
        <f t="shared" si="18"/>
        <v>0</v>
      </c>
      <c r="AE63" s="79">
        <f t="shared" si="18"/>
        <v>0</v>
      </c>
      <c r="AF63" s="79">
        <f t="shared" si="18"/>
        <v>0</v>
      </c>
      <c r="AG63" s="79">
        <f t="shared" si="18"/>
        <v>0</v>
      </c>
      <c r="AH63" s="79">
        <f t="shared" si="18"/>
        <v>0</v>
      </c>
      <c r="AI63" s="79">
        <f t="shared" si="18"/>
        <v>0</v>
      </c>
      <c r="AJ63" s="79">
        <f t="shared" si="18"/>
        <v>0</v>
      </c>
      <c r="AK63" s="79">
        <f t="shared" si="18"/>
        <v>0</v>
      </c>
      <c r="AL63" s="79">
        <f t="shared" si="18"/>
        <v>0</v>
      </c>
    </row>
    <row r="64" spans="1:38" x14ac:dyDescent="0.25">
      <c r="A64" s="2">
        <f t="shared" si="15"/>
        <v>35</v>
      </c>
      <c r="B64" s="32">
        <v>10</v>
      </c>
      <c r="C64" s="78">
        <f>-HLOOKUP(B64,'DemFin Proj'!$E$51:$O$58,8,FALSE)</f>
        <v>0</v>
      </c>
      <c r="D64" s="79">
        <f t="shared" si="17"/>
        <v>0</v>
      </c>
      <c r="E64" s="79">
        <f t="shared" si="18"/>
        <v>0</v>
      </c>
      <c r="F64" s="79">
        <f t="shared" si="18"/>
        <v>0</v>
      </c>
      <c r="G64" s="79">
        <f t="shared" si="18"/>
        <v>0</v>
      </c>
      <c r="H64" s="79">
        <f t="shared" si="18"/>
        <v>0</v>
      </c>
      <c r="I64" s="79">
        <f t="shared" si="18"/>
        <v>0</v>
      </c>
      <c r="J64" s="79">
        <f t="shared" si="18"/>
        <v>0</v>
      </c>
      <c r="K64" s="79">
        <f t="shared" si="18"/>
        <v>0</v>
      </c>
      <c r="L64" s="79">
        <f t="shared" si="18"/>
        <v>0</v>
      </c>
      <c r="M64" s="79">
        <f t="shared" si="18"/>
        <v>0</v>
      </c>
      <c r="N64" s="79">
        <f t="shared" si="18"/>
        <v>0</v>
      </c>
      <c r="O64" s="79">
        <f t="shared" si="18"/>
        <v>0</v>
      </c>
      <c r="P64" s="79">
        <f t="shared" si="18"/>
        <v>0</v>
      </c>
      <c r="Q64" s="79">
        <f t="shared" si="18"/>
        <v>0</v>
      </c>
      <c r="R64" s="79">
        <f t="shared" si="18"/>
        <v>0</v>
      </c>
      <c r="S64" s="79">
        <f t="shared" si="18"/>
        <v>0</v>
      </c>
      <c r="T64" s="79">
        <f t="shared" si="18"/>
        <v>0</v>
      </c>
      <c r="U64" s="79">
        <f t="shared" si="18"/>
        <v>0</v>
      </c>
      <c r="V64" s="79">
        <f t="shared" si="18"/>
        <v>0</v>
      </c>
      <c r="W64" s="79">
        <f t="shared" si="18"/>
        <v>0</v>
      </c>
      <c r="X64" s="79">
        <f t="shared" si="18"/>
        <v>0</v>
      </c>
      <c r="Y64" s="79">
        <f t="shared" si="18"/>
        <v>0</v>
      </c>
      <c r="Z64" s="79">
        <f t="shared" si="18"/>
        <v>0</v>
      </c>
      <c r="AA64" s="79">
        <f t="shared" si="18"/>
        <v>0</v>
      </c>
      <c r="AB64" s="79">
        <f t="shared" si="18"/>
        <v>0</v>
      </c>
      <c r="AC64" s="79">
        <f t="shared" si="18"/>
        <v>0</v>
      </c>
      <c r="AD64" s="79">
        <f t="shared" si="18"/>
        <v>0</v>
      </c>
      <c r="AE64" s="79">
        <f t="shared" si="18"/>
        <v>0</v>
      </c>
      <c r="AF64" s="79">
        <f t="shared" si="18"/>
        <v>0</v>
      </c>
      <c r="AG64" s="79">
        <f t="shared" si="18"/>
        <v>0</v>
      </c>
      <c r="AH64" s="79">
        <f t="shared" si="18"/>
        <v>0</v>
      </c>
      <c r="AI64" s="79">
        <f t="shared" si="18"/>
        <v>0</v>
      </c>
      <c r="AJ64" s="79">
        <f t="shared" si="18"/>
        <v>0</v>
      </c>
      <c r="AK64" s="79">
        <f t="shared" si="18"/>
        <v>0</v>
      </c>
      <c r="AL64" s="79">
        <f t="shared" si="18"/>
        <v>0</v>
      </c>
    </row>
    <row r="65" spans="1:38" x14ac:dyDescent="0.25">
      <c r="A65" s="2">
        <f t="shared" si="15"/>
        <v>35</v>
      </c>
      <c r="B65" s="32">
        <v>11</v>
      </c>
      <c r="C65" s="78">
        <f>-HLOOKUP(B65,'DemFin Proj'!$E$51:$O$58,8,FALSE)</f>
        <v>0</v>
      </c>
      <c r="D65" s="79">
        <f t="shared" si="17"/>
        <v>0</v>
      </c>
      <c r="E65" s="79">
        <f t="shared" si="18"/>
        <v>0</v>
      </c>
      <c r="F65" s="79">
        <f t="shared" si="18"/>
        <v>0</v>
      </c>
      <c r="G65" s="79">
        <f t="shared" si="18"/>
        <v>0</v>
      </c>
      <c r="H65" s="79">
        <f t="shared" si="18"/>
        <v>0</v>
      </c>
      <c r="I65" s="79">
        <f t="shared" si="18"/>
        <v>0</v>
      </c>
      <c r="J65" s="79">
        <f t="shared" si="18"/>
        <v>0</v>
      </c>
      <c r="K65" s="79">
        <f t="shared" si="18"/>
        <v>0</v>
      </c>
      <c r="L65" s="79">
        <f t="shared" si="18"/>
        <v>0</v>
      </c>
      <c r="M65" s="79">
        <f t="shared" si="18"/>
        <v>0</v>
      </c>
      <c r="N65" s="79">
        <f t="shared" si="18"/>
        <v>0</v>
      </c>
      <c r="O65" s="79">
        <f t="shared" si="18"/>
        <v>0</v>
      </c>
      <c r="P65" s="79">
        <f t="shared" si="18"/>
        <v>0</v>
      </c>
      <c r="Q65" s="79">
        <f t="shared" si="18"/>
        <v>0</v>
      </c>
      <c r="R65" s="79">
        <f t="shared" si="18"/>
        <v>0</v>
      </c>
      <c r="S65" s="79">
        <f t="shared" si="18"/>
        <v>0</v>
      </c>
      <c r="T65" s="79">
        <f t="shared" si="18"/>
        <v>0</v>
      </c>
      <c r="U65" s="79">
        <f t="shared" si="18"/>
        <v>0</v>
      </c>
      <c r="V65" s="79">
        <f t="shared" si="18"/>
        <v>0</v>
      </c>
      <c r="W65" s="79">
        <f t="shared" si="18"/>
        <v>0</v>
      </c>
      <c r="X65" s="79">
        <f t="shared" si="18"/>
        <v>0</v>
      </c>
      <c r="Y65" s="79">
        <f t="shared" si="18"/>
        <v>0</v>
      </c>
      <c r="Z65" s="79">
        <f t="shared" si="18"/>
        <v>0</v>
      </c>
      <c r="AA65" s="79">
        <f t="shared" si="18"/>
        <v>0</v>
      </c>
      <c r="AB65" s="79">
        <f t="shared" si="18"/>
        <v>0</v>
      </c>
      <c r="AC65" s="79">
        <f t="shared" si="18"/>
        <v>0</v>
      </c>
      <c r="AD65" s="79">
        <f t="shared" si="18"/>
        <v>0</v>
      </c>
      <c r="AE65" s="79">
        <f t="shared" si="18"/>
        <v>0</v>
      </c>
      <c r="AF65" s="79">
        <f t="shared" si="18"/>
        <v>0</v>
      </c>
      <c r="AG65" s="79">
        <f t="shared" si="18"/>
        <v>0</v>
      </c>
      <c r="AH65" s="79">
        <f t="shared" si="18"/>
        <v>0</v>
      </c>
      <c r="AI65" s="79">
        <f t="shared" si="18"/>
        <v>0</v>
      </c>
      <c r="AJ65" s="79">
        <f t="shared" si="18"/>
        <v>0</v>
      </c>
      <c r="AK65" s="79">
        <f t="shared" si="18"/>
        <v>0</v>
      </c>
      <c r="AL65" s="79">
        <f t="shared" si="18"/>
        <v>0</v>
      </c>
    </row>
    <row r="66" spans="1:38" x14ac:dyDescent="0.25">
      <c r="A66" s="2">
        <f t="shared" si="15"/>
        <v>35</v>
      </c>
      <c r="B66" s="32">
        <v>12</v>
      </c>
      <c r="C66" s="78"/>
      <c r="D66" s="79">
        <f t="shared" si="17"/>
        <v>0</v>
      </c>
      <c r="E66" s="79">
        <f t="shared" si="18"/>
        <v>0</v>
      </c>
      <c r="F66" s="79">
        <f t="shared" si="18"/>
        <v>0</v>
      </c>
      <c r="G66" s="79">
        <f t="shared" si="18"/>
        <v>0</v>
      </c>
      <c r="H66" s="79">
        <f t="shared" si="18"/>
        <v>0</v>
      </c>
      <c r="I66" s="79">
        <f t="shared" si="18"/>
        <v>0</v>
      </c>
      <c r="J66" s="79">
        <f t="shared" si="18"/>
        <v>0</v>
      </c>
      <c r="K66" s="79">
        <f t="shared" si="18"/>
        <v>0</v>
      </c>
      <c r="L66" s="79">
        <f t="shared" si="18"/>
        <v>0</v>
      </c>
      <c r="M66" s="79">
        <f t="shared" si="18"/>
        <v>0</v>
      </c>
      <c r="N66" s="79">
        <f t="shared" si="18"/>
        <v>0</v>
      </c>
      <c r="O66" s="79">
        <f t="shared" si="18"/>
        <v>0</v>
      </c>
      <c r="P66" s="79">
        <f t="shared" si="18"/>
        <v>0</v>
      </c>
      <c r="Q66" s="79">
        <f t="shared" si="18"/>
        <v>0</v>
      </c>
      <c r="R66" s="79">
        <f t="shared" si="18"/>
        <v>0</v>
      </c>
      <c r="S66" s="79">
        <f t="shared" si="18"/>
        <v>0</v>
      </c>
      <c r="T66" s="79">
        <f t="shared" si="18"/>
        <v>0</v>
      </c>
      <c r="U66" s="79">
        <f t="shared" si="18"/>
        <v>0</v>
      </c>
      <c r="V66" s="79">
        <f t="shared" si="18"/>
        <v>0</v>
      </c>
      <c r="W66" s="79">
        <f t="shared" si="18"/>
        <v>0</v>
      </c>
      <c r="X66" s="79">
        <f t="shared" si="18"/>
        <v>0</v>
      </c>
      <c r="Y66" s="79">
        <f t="shared" si="18"/>
        <v>0</v>
      </c>
      <c r="Z66" s="79">
        <f t="shared" si="18"/>
        <v>0</v>
      </c>
      <c r="AA66" s="79">
        <f t="shared" si="18"/>
        <v>0</v>
      </c>
      <c r="AB66" s="79">
        <f t="shared" si="18"/>
        <v>0</v>
      </c>
      <c r="AC66" s="79">
        <f t="shared" si="18"/>
        <v>0</v>
      </c>
      <c r="AD66" s="79">
        <f t="shared" si="18"/>
        <v>0</v>
      </c>
      <c r="AE66" s="79">
        <f t="shared" si="18"/>
        <v>0</v>
      </c>
      <c r="AF66" s="79">
        <f t="shared" si="18"/>
        <v>0</v>
      </c>
      <c r="AG66" s="79">
        <f t="shared" si="18"/>
        <v>0</v>
      </c>
      <c r="AH66" s="79">
        <f t="shared" si="18"/>
        <v>0</v>
      </c>
      <c r="AI66" s="79">
        <f t="shared" si="18"/>
        <v>0</v>
      </c>
      <c r="AJ66" s="79">
        <f t="shared" si="18"/>
        <v>0</v>
      </c>
      <c r="AK66" s="79">
        <f t="shared" si="18"/>
        <v>0</v>
      </c>
      <c r="AL66" s="79">
        <f t="shared" si="18"/>
        <v>0</v>
      </c>
    </row>
    <row r="67" spans="1:38" x14ac:dyDescent="0.25">
      <c r="A67" s="2">
        <f t="shared" si="15"/>
        <v>35</v>
      </c>
      <c r="B67" s="32">
        <v>13</v>
      </c>
      <c r="C67" s="78"/>
      <c r="D67" s="79">
        <f t="shared" si="17"/>
        <v>0</v>
      </c>
      <c r="E67" s="79">
        <f t="shared" si="18"/>
        <v>0</v>
      </c>
      <c r="F67" s="79">
        <f t="shared" si="18"/>
        <v>0</v>
      </c>
      <c r="G67" s="79">
        <f t="shared" si="18"/>
        <v>0</v>
      </c>
      <c r="H67" s="79">
        <f t="shared" si="18"/>
        <v>0</v>
      </c>
      <c r="I67" s="79">
        <f t="shared" si="18"/>
        <v>0</v>
      </c>
      <c r="J67" s="79">
        <f t="shared" si="18"/>
        <v>0</v>
      </c>
      <c r="K67" s="79">
        <f t="shared" si="18"/>
        <v>0</v>
      </c>
      <c r="L67" s="79">
        <f t="shared" si="18"/>
        <v>0</v>
      </c>
      <c r="M67" s="79">
        <f t="shared" si="18"/>
        <v>0</v>
      </c>
      <c r="N67" s="79">
        <f t="shared" si="18"/>
        <v>0</v>
      </c>
      <c r="O67" s="79">
        <f t="shared" si="18"/>
        <v>0</v>
      </c>
      <c r="P67" s="79">
        <f t="shared" si="18"/>
        <v>0</v>
      </c>
      <c r="Q67" s="79">
        <f t="shared" si="18"/>
        <v>0</v>
      </c>
      <c r="R67" s="79">
        <f t="shared" si="18"/>
        <v>0</v>
      </c>
      <c r="S67" s="79">
        <f t="shared" si="18"/>
        <v>0</v>
      </c>
      <c r="T67" s="79">
        <f t="shared" si="18"/>
        <v>0</v>
      </c>
      <c r="U67" s="79">
        <f t="shared" si="18"/>
        <v>0</v>
      </c>
      <c r="V67" s="79">
        <f t="shared" si="18"/>
        <v>0</v>
      </c>
      <c r="W67" s="79">
        <f t="shared" si="18"/>
        <v>0</v>
      </c>
      <c r="X67" s="79">
        <f t="shared" si="18"/>
        <v>0</v>
      </c>
      <c r="Y67" s="79">
        <f t="shared" si="18"/>
        <v>0</v>
      </c>
      <c r="Z67" s="79">
        <f t="shared" si="18"/>
        <v>0</v>
      </c>
      <c r="AA67" s="79">
        <f t="shared" si="18"/>
        <v>0</v>
      </c>
      <c r="AB67" s="79">
        <f t="shared" si="18"/>
        <v>0</v>
      </c>
      <c r="AC67" s="79">
        <f t="shared" si="18"/>
        <v>0</v>
      </c>
      <c r="AD67" s="79">
        <f t="shared" si="18"/>
        <v>0</v>
      </c>
      <c r="AE67" s="79">
        <f t="shared" si="18"/>
        <v>0</v>
      </c>
      <c r="AF67" s="79">
        <f t="shared" si="18"/>
        <v>0</v>
      </c>
      <c r="AG67" s="79">
        <f t="shared" si="18"/>
        <v>0</v>
      </c>
      <c r="AH67" s="79">
        <f t="shared" si="18"/>
        <v>0</v>
      </c>
      <c r="AI67" s="79">
        <f t="shared" si="18"/>
        <v>0</v>
      </c>
      <c r="AJ67" s="79">
        <f t="shared" si="18"/>
        <v>0</v>
      </c>
      <c r="AK67" s="79">
        <f t="shared" si="18"/>
        <v>0</v>
      </c>
      <c r="AL67" s="79">
        <f t="shared" si="18"/>
        <v>0</v>
      </c>
    </row>
    <row r="68" spans="1:38" x14ac:dyDescent="0.25">
      <c r="A68" s="2">
        <f t="shared" si="15"/>
        <v>35</v>
      </c>
      <c r="B68" s="32">
        <v>14</v>
      </c>
      <c r="C68" s="78"/>
      <c r="D68" s="79">
        <f t="shared" si="17"/>
        <v>0</v>
      </c>
      <c r="E68" s="79">
        <f t="shared" si="18"/>
        <v>0</v>
      </c>
      <c r="F68" s="79">
        <f t="shared" si="18"/>
        <v>0</v>
      </c>
      <c r="G68" s="79">
        <f t="shared" si="18"/>
        <v>0</v>
      </c>
      <c r="H68" s="79">
        <f t="shared" si="18"/>
        <v>0</v>
      </c>
      <c r="I68" s="79">
        <f t="shared" si="18"/>
        <v>0</v>
      </c>
      <c r="J68" s="79">
        <f t="shared" si="18"/>
        <v>0</v>
      </c>
      <c r="K68" s="79">
        <f t="shared" si="18"/>
        <v>0</v>
      </c>
      <c r="L68" s="79">
        <f t="shared" si="18"/>
        <v>0</v>
      </c>
      <c r="M68" s="79">
        <f t="shared" si="18"/>
        <v>0</v>
      </c>
      <c r="N68" s="79">
        <f t="shared" si="18"/>
        <v>0</v>
      </c>
      <c r="O68" s="79">
        <f t="shared" si="18"/>
        <v>0</v>
      </c>
      <c r="P68" s="79">
        <f t="shared" si="18"/>
        <v>0</v>
      </c>
      <c r="Q68" s="79">
        <f t="shared" si="18"/>
        <v>0</v>
      </c>
      <c r="R68" s="79">
        <f t="shared" si="18"/>
        <v>0</v>
      </c>
      <c r="S68" s="79">
        <f t="shared" si="18"/>
        <v>0</v>
      </c>
      <c r="T68" s="79">
        <f t="shared" si="18"/>
        <v>0</v>
      </c>
      <c r="U68" s="79">
        <f t="shared" si="18"/>
        <v>0</v>
      </c>
      <c r="V68" s="79">
        <f t="shared" si="18"/>
        <v>0</v>
      </c>
      <c r="W68" s="79">
        <f t="shared" si="18"/>
        <v>0</v>
      </c>
      <c r="X68" s="79">
        <f t="shared" si="18"/>
        <v>0</v>
      </c>
      <c r="Y68" s="79">
        <f t="shared" si="18"/>
        <v>0</v>
      </c>
      <c r="Z68" s="79">
        <f t="shared" si="18"/>
        <v>0</v>
      </c>
      <c r="AA68" s="79">
        <f t="shared" si="18"/>
        <v>0</v>
      </c>
      <c r="AB68" s="79">
        <f t="shared" si="18"/>
        <v>0</v>
      </c>
      <c r="AC68" s="79">
        <f t="shared" si="18"/>
        <v>0</v>
      </c>
      <c r="AD68" s="79">
        <f t="shared" si="18"/>
        <v>0</v>
      </c>
      <c r="AE68" s="79">
        <f t="shared" si="18"/>
        <v>0</v>
      </c>
      <c r="AF68" s="79">
        <f t="shared" si="18"/>
        <v>0</v>
      </c>
      <c r="AG68" s="79">
        <f t="shared" si="18"/>
        <v>0</v>
      </c>
      <c r="AH68" s="79">
        <f t="shared" si="18"/>
        <v>0</v>
      </c>
      <c r="AI68" s="79">
        <f t="shared" si="18"/>
        <v>0</v>
      </c>
      <c r="AJ68" s="79">
        <f t="shared" si="18"/>
        <v>0</v>
      </c>
      <c r="AK68" s="79">
        <f t="shared" si="18"/>
        <v>0</v>
      </c>
      <c r="AL68" s="79">
        <f t="shared" si="18"/>
        <v>0</v>
      </c>
    </row>
    <row r="69" spans="1:38" x14ac:dyDescent="0.25">
      <c r="A69" s="2">
        <f t="shared" si="15"/>
        <v>35</v>
      </c>
      <c r="B69" s="32">
        <v>15</v>
      </c>
      <c r="C69" s="78"/>
      <c r="D69" s="79">
        <f t="shared" si="17"/>
        <v>0</v>
      </c>
      <c r="E69" s="79">
        <f t="shared" si="18"/>
        <v>0</v>
      </c>
      <c r="F69" s="79">
        <f t="shared" si="18"/>
        <v>0</v>
      </c>
      <c r="G69" s="79">
        <f t="shared" si="18"/>
        <v>0</v>
      </c>
      <c r="H69" s="79">
        <f t="shared" si="18"/>
        <v>0</v>
      </c>
      <c r="I69" s="79">
        <f t="shared" si="18"/>
        <v>0</v>
      </c>
      <c r="J69" s="79">
        <f t="shared" si="18"/>
        <v>0</v>
      </c>
      <c r="K69" s="79">
        <f t="shared" si="18"/>
        <v>0</v>
      </c>
      <c r="L69" s="79">
        <f t="shared" si="18"/>
        <v>0</v>
      </c>
      <c r="M69" s="79">
        <f t="shared" si="18"/>
        <v>0</v>
      </c>
      <c r="N69" s="79">
        <f t="shared" si="18"/>
        <v>0</v>
      </c>
      <c r="O69" s="79">
        <f t="shared" si="18"/>
        <v>0</v>
      </c>
      <c r="P69" s="79">
        <f t="shared" si="18"/>
        <v>0</v>
      </c>
      <c r="Q69" s="79">
        <f t="shared" si="18"/>
        <v>0</v>
      </c>
      <c r="R69" s="79">
        <f t="shared" si="18"/>
        <v>0</v>
      </c>
      <c r="S69" s="79">
        <f t="shared" si="18"/>
        <v>0</v>
      </c>
      <c r="T69" s="79">
        <f t="shared" si="18"/>
        <v>0</v>
      </c>
      <c r="U69" s="79">
        <f t="shared" si="18"/>
        <v>0</v>
      </c>
      <c r="V69" s="79">
        <f t="shared" si="18"/>
        <v>0</v>
      </c>
      <c r="W69" s="79">
        <f t="shared" si="18"/>
        <v>0</v>
      </c>
      <c r="X69" s="79">
        <f t="shared" si="18"/>
        <v>0</v>
      </c>
      <c r="Y69" s="79">
        <f t="shared" si="18"/>
        <v>0</v>
      </c>
      <c r="Z69" s="79">
        <f t="shared" si="18"/>
        <v>0</v>
      </c>
      <c r="AA69" s="79">
        <f t="shared" si="18"/>
        <v>0</v>
      </c>
      <c r="AB69" s="79">
        <f t="shared" si="18"/>
        <v>0</v>
      </c>
      <c r="AC69" s="79">
        <f t="shared" si="18"/>
        <v>0</v>
      </c>
      <c r="AD69" s="79">
        <f t="shared" si="18"/>
        <v>0</v>
      </c>
      <c r="AE69" s="79">
        <f t="shared" si="18"/>
        <v>0</v>
      </c>
      <c r="AF69" s="79">
        <f t="shared" si="18"/>
        <v>0</v>
      </c>
      <c r="AG69" s="79">
        <f t="shared" si="18"/>
        <v>0</v>
      </c>
      <c r="AH69" s="79">
        <f t="shared" si="18"/>
        <v>0</v>
      </c>
      <c r="AI69" s="79">
        <f t="shared" si="18"/>
        <v>0</v>
      </c>
      <c r="AJ69" s="79">
        <f t="shared" si="18"/>
        <v>0</v>
      </c>
      <c r="AK69" s="79">
        <f t="shared" si="18"/>
        <v>0</v>
      </c>
      <c r="AL69" s="79">
        <f t="shared" si="18"/>
        <v>0</v>
      </c>
    </row>
    <row r="70" spans="1:38" x14ac:dyDescent="0.25">
      <c r="A70" s="2">
        <f t="shared" si="15"/>
        <v>35</v>
      </c>
      <c r="B70" s="32">
        <v>16</v>
      </c>
      <c r="C70" s="78"/>
      <c r="D70" s="79">
        <f t="shared" si="17"/>
        <v>0</v>
      </c>
      <c r="E70" s="79">
        <f t="shared" si="18"/>
        <v>0</v>
      </c>
      <c r="F70" s="79">
        <f t="shared" si="18"/>
        <v>0</v>
      </c>
      <c r="G70" s="79">
        <f t="shared" si="18"/>
        <v>0</v>
      </c>
      <c r="H70" s="79">
        <f t="shared" si="18"/>
        <v>0</v>
      </c>
      <c r="I70" s="79">
        <f t="shared" si="18"/>
        <v>0</v>
      </c>
      <c r="J70" s="79">
        <f t="shared" si="18"/>
        <v>0</v>
      </c>
      <c r="K70" s="79">
        <f t="shared" si="18"/>
        <v>0</v>
      </c>
      <c r="L70" s="79">
        <f t="shared" si="18"/>
        <v>0</v>
      </c>
      <c r="M70" s="79">
        <f t="shared" si="18"/>
        <v>0</v>
      </c>
      <c r="N70" s="79">
        <f t="shared" si="18"/>
        <v>0</v>
      </c>
      <c r="O70" s="79">
        <f t="shared" si="18"/>
        <v>0</v>
      </c>
      <c r="P70" s="79">
        <f t="shared" si="18"/>
        <v>0</v>
      </c>
      <c r="Q70" s="79">
        <f t="shared" si="18"/>
        <v>0</v>
      </c>
      <c r="R70" s="79">
        <f t="shared" si="18"/>
        <v>0</v>
      </c>
      <c r="S70" s="79">
        <f t="shared" si="18"/>
        <v>0</v>
      </c>
      <c r="T70" s="79">
        <f t="shared" ref="E70:AL77" si="19">IF(OR(T$54&lt;=$B70,T$54&gt;($B70+$F$52)),0,$C70/$F$52)</f>
        <v>0</v>
      </c>
      <c r="U70" s="79">
        <f t="shared" si="19"/>
        <v>0</v>
      </c>
      <c r="V70" s="79">
        <f t="shared" si="19"/>
        <v>0</v>
      </c>
      <c r="W70" s="79">
        <f t="shared" si="19"/>
        <v>0</v>
      </c>
      <c r="X70" s="79">
        <f t="shared" si="19"/>
        <v>0</v>
      </c>
      <c r="Y70" s="79">
        <f t="shared" si="19"/>
        <v>0</v>
      </c>
      <c r="Z70" s="79">
        <f t="shared" si="19"/>
        <v>0</v>
      </c>
      <c r="AA70" s="79">
        <f t="shared" si="19"/>
        <v>0</v>
      </c>
      <c r="AB70" s="79">
        <f t="shared" si="19"/>
        <v>0</v>
      </c>
      <c r="AC70" s="79">
        <f t="shared" si="19"/>
        <v>0</v>
      </c>
      <c r="AD70" s="79">
        <f t="shared" si="19"/>
        <v>0</v>
      </c>
      <c r="AE70" s="79">
        <f t="shared" si="19"/>
        <v>0</v>
      </c>
      <c r="AF70" s="79">
        <f t="shared" si="19"/>
        <v>0</v>
      </c>
      <c r="AG70" s="79">
        <f t="shared" si="19"/>
        <v>0</v>
      </c>
      <c r="AH70" s="79">
        <f t="shared" si="19"/>
        <v>0</v>
      </c>
      <c r="AI70" s="79">
        <f t="shared" si="19"/>
        <v>0</v>
      </c>
      <c r="AJ70" s="79">
        <f t="shared" si="19"/>
        <v>0</v>
      </c>
      <c r="AK70" s="79">
        <f t="shared" si="19"/>
        <v>0</v>
      </c>
      <c r="AL70" s="79">
        <f t="shared" si="19"/>
        <v>0</v>
      </c>
    </row>
    <row r="71" spans="1:38" x14ac:dyDescent="0.25">
      <c r="A71" s="2">
        <f t="shared" si="15"/>
        <v>35</v>
      </c>
      <c r="B71" s="32">
        <v>17</v>
      </c>
      <c r="C71" s="78"/>
      <c r="D71" s="79">
        <f t="shared" si="17"/>
        <v>0</v>
      </c>
      <c r="E71" s="79">
        <f t="shared" si="19"/>
        <v>0</v>
      </c>
      <c r="F71" s="79">
        <f t="shared" si="19"/>
        <v>0</v>
      </c>
      <c r="G71" s="79">
        <f t="shared" si="19"/>
        <v>0</v>
      </c>
      <c r="H71" s="79">
        <f t="shared" si="19"/>
        <v>0</v>
      </c>
      <c r="I71" s="79">
        <f t="shared" si="19"/>
        <v>0</v>
      </c>
      <c r="J71" s="79">
        <f t="shared" si="19"/>
        <v>0</v>
      </c>
      <c r="K71" s="79">
        <f t="shared" si="19"/>
        <v>0</v>
      </c>
      <c r="L71" s="79">
        <f t="shared" si="19"/>
        <v>0</v>
      </c>
      <c r="M71" s="79">
        <f t="shared" si="19"/>
        <v>0</v>
      </c>
      <c r="N71" s="79">
        <f t="shared" si="19"/>
        <v>0</v>
      </c>
      <c r="O71" s="79">
        <f t="shared" si="19"/>
        <v>0</v>
      </c>
      <c r="P71" s="79">
        <f t="shared" si="19"/>
        <v>0</v>
      </c>
      <c r="Q71" s="79">
        <f t="shared" si="19"/>
        <v>0</v>
      </c>
      <c r="R71" s="79">
        <f t="shared" si="19"/>
        <v>0</v>
      </c>
      <c r="S71" s="79">
        <f t="shared" si="19"/>
        <v>0</v>
      </c>
      <c r="T71" s="79">
        <f t="shared" si="19"/>
        <v>0</v>
      </c>
      <c r="U71" s="79">
        <f t="shared" si="19"/>
        <v>0</v>
      </c>
      <c r="V71" s="79">
        <f t="shared" si="19"/>
        <v>0</v>
      </c>
      <c r="W71" s="79">
        <f t="shared" si="19"/>
        <v>0</v>
      </c>
      <c r="X71" s="79">
        <f t="shared" si="19"/>
        <v>0</v>
      </c>
      <c r="Y71" s="79">
        <f t="shared" si="19"/>
        <v>0</v>
      </c>
      <c r="Z71" s="79">
        <f t="shared" si="19"/>
        <v>0</v>
      </c>
      <c r="AA71" s="79">
        <f t="shared" si="19"/>
        <v>0</v>
      </c>
      <c r="AB71" s="79">
        <f t="shared" si="19"/>
        <v>0</v>
      </c>
      <c r="AC71" s="79">
        <f t="shared" si="19"/>
        <v>0</v>
      </c>
      <c r="AD71" s="79">
        <f t="shared" si="19"/>
        <v>0</v>
      </c>
      <c r="AE71" s="79">
        <f t="shared" si="19"/>
        <v>0</v>
      </c>
      <c r="AF71" s="79">
        <f t="shared" si="19"/>
        <v>0</v>
      </c>
      <c r="AG71" s="79">
        <f t="shared" si="19"/>
        <v>0</v>
      </c>
      <c r="AH71" s="79">
        <f t="shared" si="19"/>
        <v>0</v>
      </c>
      <c r="AI71" s="79">
        <f t="shared" si="19"/>
        <v>0</v>
      </c>
      <c r="AJ71" s="79">
        <f t="shared" si="19"/>
        <v>0</v>
      </c>
      <c r="AK71" s="79">
        <f t="shared" si="19"/>
        <v>0</v>
      </c>
      <c r="AL71" s="79">
        <f t="shared" si="19"/>
        <v>0</v>
      </c>
    </row>
    <row r="72" spans="1:38" x14ac:dyDescent="0.25">
      <c r="A72" s="2">
        <f t="shared" si="15"/>
        <v>35</v>
      </c>
      <c r="B72" s="32">
        <v>18</v>
      </c>
      <c r="C72" s="78"/>
      <c r="D72" s="79">
        <f t="shared" si="17"/>
        <v>0</v>
      </c>
      <c r="E72" s="79">
        <f t="shared" si="19"/>
        <v>0</v>
      </c>
      <c r="F72" s="79">
        <f t="shared" si="19"/>
        <v>0</v>
      </c>
      <c r="G72" s="79">
        <f t="shared" si="19"/>
        <v>0</v>
      </c>
      <c r="H72" s="79">
        <f t="shared" si="19"/>
        <v>0</v>
      </c>
      <c r="I72" s="79">
        <f t="shared" si="19"/>
        <v>0</v>
      </c>
      <c r="J72" s="79">
        <f t="shared" si="19"/>
        <v>0</v>
      </c>
      <c r="K72" s="79">
        <f t="shared" si="19"/>
        <v>0</v>
      </c>
      <c r="L72" s="79">
        <f t="shared" si="19"/>
        <v>0</v>
      </c>
      <c r="M72" s="79">
        <f t="shared" si="19"/>
        <v>0</v>
      </c>
      <c r="N72" s="79">
        <f t="shared" si="19"/>
        <v>0</v>
      </c>
      <c r="O72" s="79">
        <f t="shared" si="19"/>
        <v>0</v>
      </c>
      <c r="P72" s="79">
        <f t="shared" si="19"/>
        <v>0</v>
      </c>
      <c r="Q72" s="79">
        <f t="shared" si="19"/>
        <v>0</v>
      </c>
      <c r="R72" s="79">
        <f t="shared" si="19"/>
        <v>0</v>
      </c>
      <c r="S72" s="79">
        <f t="shared" si="19"/>
        <v>0</v>
      </c>
      <c r="T72" s="79">
        <f t="shared" si="19"/>
        <v>0</v>
      </c>
      <c r="U72" s="79">
        <f t="shared" si="19"/>
        <v>0</v>
      </c>
      <c r="V72" s="79">
        <f t="shared" si="19"/>
        <v>0</v>
      </c>
      <c r="W72" s="79">
        <f t="shared" si="19"/>
        <v>0</v>
      </c>
      <c r="X72" s="79">
        <f t="shared" si="19"/>
        <v>0</v>
      </c>
      <c r="Y72" s="79">
        <f t="shared" si="19"/>
        <v>0</v>
      </c>
      <c r="Z72" s="79">
        <f t="shared" si="19"/>
        <v>0</v>
      </c>
      <c r="AA72" s="79">
        <f t="shared" si="19"/>
        <v>0</v>
      </c>
      <c r="AB72" s="79">
        <f t="shared" si="19"/>
        <v>0</v>
      </c>
      <c r="AC72" s="79">
        <f t="shared" si="19"/>
        <v>0</v>
      </c>
      <c r="AD72" s="79">
        <f t="shared" si="19"/>
        <v>0</v>
      </c>
      <c r="AE72" s="79">
        <f t="shared" si="19"/>
        <v>0</v>
      </c>
      <c r="AF72" s="79">
        <f t="shared" si="19"/>
        <v>0</v>
      </c>
      <c r="AG72" s="79">
        <f t="shared" si="19"/>
        <v>0</v>
      </c>
      <c r="AH72" s="79">
        <f t="shared" si="19"/>
        <v>0</v>
      </c>
      <c r="AI72" s="79">
        <f t="shared" si="19"/>
        <v>0</v>
      </c>
      <c r="AJ72" s="79">
        <f t="shared" si="19"/>
        <v>0</v>
      </c>
      <c r="AK72" s="79">
        <f t="shared" si="19"/>
        <v>0</v>
      </c>
      <c r="AL72" s="79">
        <f t="shared" si="19"/>
        <v>0</v>
      </c>
    </row>
    <row r="73" spans="1:38" x14ac:dyDescent="0.25">
      <c r="A73" s="2">
        <f t="shared" si="15"/>
        <v>35</v>
      </c>
      <c r="B73" s="32">
        <v>19</v>
      </c>
      <c r="C73" s="78"/>
      <c r="D73" s="79">
        <f t="shared" si="17"/>
        <v>0</v>
      </c>
      <c r="E73" s="79">
        <f t="shared" si="19"/>
        <v>0</v>
      </c>
      <c r="F73" s="79">
        <f t="shared" si="19"/>
        <v>0</v>
      </c>
      <c r="G73" s="79">
        <f t="shared" si="19"/>
        <v>0</v>
      </c>
      <c r="H73" s="79">
        <f t="shared" si="19"/>
        <v>0</v>
      </c>
      <c r="I73" s="79">
        <f t="shared" si="19"/>
        <v>0</v>
      </c>
      <c r="J73" s="79">
        <f t="shared" si="19"/>
        <v>0</v>
      </c>
      <c r="K73" s="79">
        <f t="shared" si="19"/>
        <v>0</v>
      </c>
      <c r="L73" s="79">
        <f t="shared" si="19"/>
        <v>0</v>
      </c>
      <c r="M73" s="79">
        <f t="shared" si="19"/>
        <v>0</v>
      </c>
      <c r="N73" s="79">
        <f t="shared" si="19"/>
        <v>0</v>
      </c>
      <c r="O73" s="79">
        <f t="shared" si="19"/>
        <v>0</v>
      </c>
      <c r="P73" s="79">
        <f t="shared" si="19"/>
        <v>0</v>
      </c>
      <c r="Q73" s="79">
        <f t="shared" si="19"/>
        <v>0</v>
      </c>
      <c r="R73" s="79">
        <f t="shared" si="19"/>
        <v>0</v>
      </c>
      <c r="S73" s="79">
        <f t="shared" si="19"/>
        <v>0</v>
      </c>
      <c r="T73" s="79">
        <f t="shared" si="19"/>
        <v>0</v>
      </c>
      <c r="U73" s="79">
        <f t="shared" si="19"/>
        <v>0</v>
      </c>
      <c r="V73" s="79">
        <f t="shared" si="19"/>
        <v>0</v>
      </c>
      <c r="W73" s="79">
        <f t="shared" si="19"/>
        <v>0</v>
      </c>
      <c r="X73" s="79">
        <f t="shared" si="19"/>
        <v>0</v>
      </c>
      <c r="Y73" s="79">
        <f t="shared" si="19"/>
        <v>0</v>
      </c>
      <c r="Z73" s="79">
        <f t="shared" si="19"/>
        <v>0</v>
      </c>
      <c r="AA73" s="79">
        <f t="shared" si="19"/>
        <v>0</v>
      </c>
      <c r="AB73" s="79">
        <f t="shared" si="19"/>
        <v>0</v>
      </c>
      <c r="AC73" s="79">
        <f t="shared" si="19"/>
        <v>0</v>
      </c>
      <c r="AD73" s="79">
        <f t="shared" si="19"/>
        <v>0</v>
      </c>
      <c r="AE73" s="79">
        <f t="shared" si="19"/>
        <v>0</v>
      </c>
      <c r="AF73" s="79">
        <f t="shared" si="19"/>
        <v>0</v>
      </c>
      <c r="AG73" s="79">
        <f t="shared" si="19"/>
        <v>0</v>
      </c>
      <c r="AH73" s="79">
        <f t="shared" si="19"/>
        <v>0</v>
      </c>
      <c r="AI73" s="79">
        <f t="shared" si="19"/>
        <v>0</v>
      </c>
      <c r="AJ73" s="79">
        <f t="shared" si="19"/>
        <v>0</v>
      </c>
      <c r="AK73" s="79">
        <f t="shared" si="19"/>
        <v>0</v>
      </c>
      <c r="AL73" s="79">
        <f t="shared" si="19"/>
        <v>0</v>
      </c>
    </row>
    <row r="74" spans="1:38" x14ac:dyDescent="0.25">
      <c r="A74" s="2">
        <f t="shared" si="15"/>
        <v>35</v>
      </c>
      <c r="B74" s="32">
        <v>20</v>
      </c>
      <c r="C74" s="78"/>
      <c r="D74" s="79">
        <f t="shared" si="17"/>
        <v>0</v>
      </c>
      <c r="E74" s="79">
        <f t="shared" si="19"/>
        <v>0</v>
      </c>
      <c r="F74" s="79">
        <f t="shared" si="19"/>
        <v>0</v>
      </c>
      <c r="G74" s="79">
        <f t="shared" si="19"/>
        <v>0</v>
      </c>
      <c r="H74" s="79">
        <f t="shared" si="19"/>
        <v>0</v>
      </c>
      <c r="I74" s="79">
        <f t="shared" si="19"/>
        <v>0</v>
      </c>
      <c r="J74" s="79">
        <f t="shared" si="19"/>
        <v>0</v>
      </c>
      <c r="K74" s="79">
        <f t="shared" si="19"/>
        <v>0</v>
      </c>
      <c r="L74" s="79">
        <f t="shared" si="19"/>
        <v>0</v>
      </c>
      <c r="M74" s="79">
        <f t="shared" si="19"/>
        <v>0</v>
      </c>
      <c r="N74" s="79">
        <f t="shared" si="19"/>
        <v>0</v>
      </c>
      <c r="O74" s="79">
        <f t="shared" si="19"/>
        <v>0</v>
      </c>
      <c r="P74" s="79">
        <f t="shared" si="19"/>
        <v>0</v>
      </c>
      <c r="Q74" s="79">
        <f t="shared" si="19"/>
        <v>0</v>
      </c>
      <c r="R74" s="79">
        <f t="shared" si="19"/>
        <v>0</v>
      </c>
      <c r="S74" s="79">
        <f t="shared" si="19"/>
        <v>0</v>
      </c>
      <c r="T74" s="79">
        <f t="shared" si="19"/>
        <v>0</v>
      </c>
      <c r="U74" s="79">
        <f t="shared" si="19"/>
        <v>0</v>
      </c>
      <c r="V74" s="79">
        <f t="shared" si="19"/>
        <v>0</v>
      </c>
      <c r="W74" s="79">
        <f t="shared" si="19"/>
        <v>0</v>
      </c>
      <c r="X74" s="79">
        <f t="shared" si="19"/>
        <v>0</v>
      </c>
      <c r="Y74" s="79">
        <f t="shared" si="19"/>
        <v>0</v>
      </c>
      <c r="Z74" s="79">
        <f t="shared" si="19"/>
        <v>0</v>
      </c>
      <c r="AA74" s="79">
        <f t="shared" si="19"/>
        <v>0</v>
      </c>
      <c r="AB74" s="79">
        <f t="shared" si="19"/>
        <v>0</v>
      </c>
      <c r="AC74" s="79">
        <f t="shared" si="19"/>
        <v>0</v>
      </c>
      <c r="AD74" s="79">
        <f t="shared" si="19"/>
        <v>0</v>
      </c>
      <c r="AE74" s="79">
        <f t="shared" si="19"/>
        <v>0</v>
      </c>
      <c r="AF74" s="79">
        <f t="shared" si="19"/>
        <v>0</v>
      </c>
      <c r="AG74" s="79">
        <f t="shared" si="19"/>
        <v>0</v>
      </c>
      <c r="AH74" s="79">
        <f t="shared" si="19"/>
        <v>0</v>
      </c>
      <c r="AI74" s="79">
        <f t="shared" si="19"/>
        <v>0</v>
      </c>
      <c r="AJ74" s="79">
        <f t="shared" si="19"/>
        <v>0</v>
      </c>
      <c r="AK74" s="79">
        <f t="shared" si="19"/>
        <v>0</v>
      </c>
      <c r="AL74" s="79">
        <f t="shared" si="19"/>
        <v>0</v>
      </c>
    </row>
    <row r="75" spans="1:38" x14ac:dyDescent="0.25">
      <c r="A75" s="2">
        <f t="shared" si="15"/>
        <v>35</v>
      </c>
      <c r="B75" s="32">
        <v>21</v>
      </c>
      <c r="C75" s="78"/>
      <c r="D75" s="79">
        <f t="shared" si="17"/>
        <v>0</v>
      </c>
      <c r="E75" s="79">
        <f t="shared" si="19"/>
        <v>0</v>
      </c>
      <c r="F75" s="79">
        <f t="shared" si="19"/>
        <v>0</v>
      </c>
      <c r="G75" s="79">
        <f t="shared" si="19"/>
        <v>0</v>
      </c>
      <c r="H75" s="79">
        <f t="shared" si="19"/>
        <v>0</v>
      </c>
      <c r="I75" s="79">
        <f t="shared" si="19"/>
        <v>0</v>
      </c>
      <c r="J75" s="79">
        <f t="shared" si="19"/>
        <v>0</v>
      </c>
      <c r="K75" s="79">
        <f t="shared" si="19"/>
        <v>0</v>
      </c>
      <c r="L75" s="79">
        <f t="shared" si="19"/>
        <v>0</v>
      </c>
      <c r="M75" s="79">
        <f t="shared" si="19"/>
        <v>0</v>
      </c>
      <c r="N75" s="79">
        <f t="shared" si="19"/>
        <v>0</v>
      </c>
      <c r="O75" s="79">
        <f t="shared" si="19"/>
        <v>0</v>
      </c>
      <c r="P75" s="79">
        <f t="shared" si="19"/>
        <v>0</v>
      </c>
      <c r="Q75" s="79">
        <f t="shared" si="19"/>
        <v>0</v>
      </c>
      <c r="R75" s="79">
        <f t="shared" si="19"/>
        <v>0</v>
      </c>
      <c r="S75" s="79">
        <f t="shared" si="19"/>
        <v>0</v>
      </c>
      <c r="T75" s="79">
        <f t="shared" si="19"/>
        <v>0</v>
      </c>
      <c r="U75" s="79">
        <f t="shared" si="19"/>
        <v>0</v>
      </c>
      <c r="V75" s="79">
        <f t="shared" si="19"/>
        <v>0</v>
      </c>
      <c r="W75" s="79">
        <f t="shared" si="19"/>
        <v>0</v>
      </c>
      <c r="X75" s="79">
        <f t="shared" si="19"/>
        <v>0</v>
      </c>
      <c r="Y75" s="79">
        <f t="shared" si="19"/>
        <v>0</v>
      </c>
      <c r="Z75" s="79">
        <f t="shared" si="19"/>
        <v>0</v>
      </c>
      <c r="AA75" s="79">
        <f t="shared" si="19"/>
        <v>0</v>
      </c>
      <c r="AB75" s="79">
        <f t="shared" si="19"/>
        <v>0</v>
      </c>
      <c r="AC75" s="79">
        <f t="shared" si="19"/>
        <v>0</v>
      </c>
      <c r="AD75" s="79">
        <f t="shared" si="19"/>
        <v>0</v>
      </c>
      <c r="AE75" s="79">
        <f t="shared" si="19"/>
        <v>0</v>
      </c>
      <c r="AF75" s="79">
        <f t="shared" si="19"/>
        <v>0</v>
      </c>
      <c r="AG75" s="79">
        <f t="shared" si="19"/>
        <v>0</v>
      </c>
      <c r="AH75" s="79">
        <f t="shared" si="19"/>
        <v>0</v>
      </c>
      <c r="AI75" s="79">
        <f t="shared" si="19"/>
        <v>0</v>
      </c>
      <c r="AJ75" s="79">
        <f t="shared" si="19"/>
        <v>0</v>
      </c>
      <c r="AK75" s="79">
        <f t="shared" si="19"/>
        <v>0</v>
      </c>
      <c r="AL75" s="79">
        <f t="shared" si="19"/>
        <v>0</v>
      </c>
    </row>
    <row r="76" spans="1:38" x14ac:dyDescent="0.25">
      <c r="A76" s="2">
        <f t="shared" si="15"/>
        <v>35</v>
      </c>
      <c r="B76" s="32">
        <v>22</v>
      </c>
      <c r="C76" s="78"/>
      <c r="D76" s="79">
        <f t="shared" si="17"/>
        <v>0</v>
      </c>
      <c r="E76" s="79">
        <f t="shared" si="19"/>
        <v>0</v>
      </c>
      <c r="F76" s="79">
        <f t="shared" si="19"/>
        <v>0</v>
      </c>
      <c r="G76" s="79">
        <f t="shared" si="19"/>
        <v>0</v>
      </c>
      <c r="H76" s="79">
        <f t="shared" si="19"/>
        <v>0</v>
      </c>
      <c r="I76" s="79">
        <f t="shared" si="19"/>
        <v>0</v>
      </c>
      <c r="J76" s="79">
        <f t="shared" si="19"/>
        <v>0</v>
      </c>
      <c r="K76" s="79">
        <f t="shared" si="19"/>
        <v>0</v>
      </c>
      <c r="L76" s="79">
        <f t="shared" si="19"/>
        <v>0</v>
      </c>
      <c r="M76" s="79">
        <f t="shared" si="19"/>
        <v>0</v>
      </c>
      <c r="N76" s="79">
        <f t="shared" si="19"/>
        <v>0</v>
      </c>
      <c r="O76" s="79">
        <f t="shared" si="19"/>
        <v>0</v>
      </c>
      <c r="P76" s="79">
        <f t="shared" si="19"/>
        <v>0</v>
      </c>
      <c r="Q76" s="79">
        <f t="shared" si="19"/>
        <v>0</v>
      </c>
      <c r="R76" s="79">
        <f t="shared" si="19"/>
        <v>0</v>
      </c>
      <c r="S76" s="79">
        <f t="shared" si="19"/>
        <v>0</v>
      </c>
      <c r="T76" s="79">
        <f t="shared" si="19"/>
        <v>0</v>
      </c>
      <c r="U76" s="79">
        <f t="shared" si="19"/>
        <v>0</v>
      </c>
      <c r="V76" s="79">
        <f t="shared" si="19"/>
        <v>0</v>
      </c>
      <c r="W76" s="79">
        <f t="shared" si="19"/>
        <v>0</v>
      </c>
      <c r="X76" s="79">
        <f t="shared" si="19"/>
        <v>0</v>
      </c>
      <c r="Y76" s="79">
        <f t="shared" si="19"/>
        <v>0</v>
      </c>
      <c r="Z76" s="79">
        <f t="shared" si="19"/>
        <v>0</v>
      </c>
      <c r="AA76" s="79">
        <f t="shared" si="19"/>
        <v>0</v>
      </c>
      <c r="AB76" s="79">
        <f t="shared" si="19"/>
        <v>0</v>
      </c>
      <c r="AC76" s="79">
        <f t="shared" si="19"/>
        <v>0</v>
      </c>
      <c r="AD76" s="79">
        <f t="shared" si="19"/>
        <v>0</v>
      </c>
      <c r="AE76" s="79">
        <f t="shared" si="19"/>
        <v>0</v>
      </c>
      <c r="AF76" s="79">
        <f t="shared" si="19"/>
        <v>0</v>
      </c>
      <c r="AG76" s="79">
        <f t="shared" si="19"/>
        <v>0</v>
      </c>
      <c r="AH76" s="79">
        <f t="shared" si="19"/>
        <v>0</v>
      </c>
      <c r="AI76" s="79">
        <f t="shared" si="19"/>
        <v>0</v>
      </c>
      <c r="AJ76" s="79">
        <f t="shared" si="19"/>
        <v>0</v>
      </c>
      <c r="AK76" s="79">
        <f t="shared" si="19"/>
        <v>0</v>
      </c>
      <c r="AL76" s="79">
        <f t="shared" si="19"/>
        <v>0</v>
      </c>
    </row>
    <row r="77" spans="1:38" x14ac:dyDescent="0.25">
      <c r="A77" s="2">
        <f t="shared" si="15"/>
        <v>35</v>
      </c>
      <c r="B77" s="32">
        <v>23</v>
      </c>
      <c r="C77" s="78"/>
      <c r="D77" s="79">
        <f t="shared" si="17"/>
        <v>0</v>
      </c>
      <c r="E77" s="79">
        <f t="shared" si="19"/>
        <v>0</v>
      </c>
      <c r="F77" s="79">
        <f t="shared" si="19"/>
        <v>0</v>
      </c>
      <c r="G77" s="79">
        <f t="shared" si="19"/>
        <v>0</v>
      </c>
      <c r="H77" s="79">
        <f t="shared" si="19"/>
        <v>0</v>
      </c>
      <c r="I77" s="79">
        <f t="shared" si="19"/>
        <v>0</v>
      </c>
      <c r="J77" s="79">
        <f t="shared" si="19"/>
        <v>0</v>
      </c>
      <c r="K77" s="79">
        <f t="shared" si="19"/>
        <v>0</v>
      </c>
      <c r="L77" s="79">
        <f t="shared" si="19"/>
        <v>0</v>
      </c>
      <c r="M77" s="79">
        <f t="shared" si="19"/>
        <v>0</v>
      </c>
      <c r="N77" s="79">
        <f t="shared" si="19"/>
        <v>0</v>
      </c>
      <c r="O77" s="79">
        <f t="shared" si="19"/>
        <v>0</v>
      </c>
      <c r="P77" s="79">
        <f t="shared" si="19"/>
        <v>0</v>
      </c>
      <c r="Q77" s="79">
        <f t="shared" si="19"/>
        <v>0</v>
      </c>
      <c r="R77" s="79">
        <f t="shared" si="19"/>
        <v>0</v>
      </c>
      <c r="S77" s="79">
        <f t="shared" si="19"/>
        <v>0</v>
      </c>
      <c r="T77" s="79">
        <f t="shared" si="19"/>
        <v>0</v>
      </c>
      <c r="U77" s="79">
        <f t="shared" si="19"/>
        <v>0</v>
      </c>
      <c r="V77" s="79">
        <f t="shared" si="19"/>
        <v>0</v>
      </c>
      <c r="W77" s="79">
        <f t="shared" si="19"/>
        <v>0</v>
      </c>
      <c r="X77" s="79">
        <f t="shared" si="19"/>
        <v>0</v>
      </c>
      <c r="Y77" s="79">
        <f t="shared" si="19"/>
        <v>0</v>
      </c>
      <c r="Z77" s="79">
        <f t="shared" si="19"/>
        <v>0</v>
      </c>
      <c r="AA77" s="79">
        <f t="shared" si="19"/>
        <v>0</v>
      </c>
      <c r="AB77" s="79">
        <f t="shared" si="19"/>
        <v>0</v>
      </c>
      <c r="AC77" s="79">
        <f t="shared" si="19"/>
        <v>0</v>
      </c>
      <c r="AD77" s="79">
        <f t="shared" si="19"/>
        <v>0</v>
      </c>
      <c r="AE77" s="79">
        <f t="shared" si="19"/>
        <v>0</v>
      </c>
      <c r="AF77" s="79">
        <f t="shared" si="19"/>
        <v>0</v>
      </c>
      <c r="AG77" s="79">
        <f t="shared" si="19"/>
        <v>0</v>
      </c>
      <c r="AH77" s="79">
        <f t="shared" si="19"/>
        <v>0</v>
      </c>
      <c r="AI77" s="79">
        <f t="shared" si="19"/>
        <v>0</v>
      </c>
      <c r="AJ77" s="79">
        <f t="shared" si="19"/>
        <v>0</v>
      </c>
      <c r="AK77" s="79">
        <f t="shared" ref="E77:AL85" si="20">IF(OR(AK$54&lt;=$B77,AK$54&gt;($B77+$F$52)),0,$C77/$F$52)</f>
        <v>0</v>
      </c>
      <c r="AL77" s="79">
        <f t="shared" si="20"/>
        <v>0</v>
      </c>
    </row>
    <row r="78" spans="1:38" x14ac:dyDescent="0.25">
      <c r="A78" s="2">
        <f t="shared" si="15"/>
        <v>35</v>
      </c>
      <c r="B78" s="32">
        <v>24</v>
      </c>
      <c r="C78" s="78"/>
      <c r="D78" s="79">
        <f t="shared" si="17"/>
        <v>0</v>
      </c>
      <c r="E78" s="79">
        <f t="shared" si="20"/>
        <v>0</v>
      </c>
      <c r="F78" s="79">
        <f t="shared" si="20"/>
        <v>0</v>
      </c>
      <c r="G78" s="79">
        <f t="shared" si="20"/>
        <v>0</v>
      </c>
      <c r="H78" s="79">
        <f t="shared" si="20"/>
        <v>0</v>
      </c>
      <c r="I78" s="79">
        <f t="shared" si="20"/>
        <v>0</v>
      </c>
      <c r="J78" s="79">
        <f t="shared" si="20"/>
        <v>0</v>
      </c>
      <c r="K78" s="79">
        <f t="shared" si="20"/>
        <v>0</v>
      </c>
      <c r="L78" s="79">
        <f t="shared" si="20"/>
        <v>0</v>
      </c>
      <c r="M78" s="79">
        <f t="shared" si="20"/>
        <v>0</v>
      </c>
      <c r="N78" s="79">
        <f t="shared" si="20"/>
        <v>0</v>
      </c>
      <c r="O78" s="79">
        <f t="shared" si="20"/>
        <v>0</v>
      </c>
      <c r="P78" s="79">
        <f t="shared" si="20"/>
        <v>0</v>
      </c>
      <c r="Q78" s="79">
        <f t="shared" si="20"/>
        <v>0</v>
      </c>
      <c r="R78" s="79">
        <f t="shared" si="20"/>
        <v>0</v>
      </c>
      <c r="S78" s="79">
        <f t="shared" si="20"/>
        <v>0</v>
      </c>
      <c r="T78" s="79">
        <f t="shared" si="20"/>
        <v>0</v>
      </c>
      <c r="U78" s="79">
        <f t="shared" si="20"/>
        <v>0</v>
      </c>
      <c r="V78" s="79">
        <f t="shared" si="20"/>
        <v>0</v>
      </c>
      <c r="W78" s="79">
        <f t="shared" si="20"/>
        <v>0</v>
      </c>
      <c r="X78" s="79">
        <f t="shared" si="20"/>
        <v>0</v>
      </c>
      <c r="Y78" s="79">
        <f t="shared" si="20"/>
        <v>0</v>
      </c>
      <c r="Z78" s="79">
        <f t="shared" si="20"/>
        <v>0</v>
      </c>
      <c r="AA78" s="79">
        <f t="shared" si="20"/>
        <v>0</v>
      </c>
      <c r="AB78" s="79">
        <f t="shared" si="20"/>
        <v>0</v>
      </c>
      <c r="AC78" s="79">
        <f t="shared" si="20"/>
        <v>0</v>
      </c>
      <c r="AD78" s="79">
        <f t="shared" si="20"/>
        <v>0</v>
      </c>
      <c r="AE78" s="79">
        <f t="shared" si="20"/>
        <v>0</v>
      </c>
      <c r="AF78" s="79">
        <f t="shared" si="20"/>
        <v>0</v>
      </c>
      <c r="AG78" s="79">
        <f t="shared" si="20"/>
        <v>0</v>
      </c>
      <c r="AH78" s="79">
        <f t="shared" si="20"/>
        <v>0</v>
      </c>
      <c r="AI78" s="79">
        <f t="shared" si="20"/>
        <v>0</v>
      </c>
      <c r="AJ78" s="79">
        <f t="shared" si="20"/>
        <v>0</v>
      </c>
      <c r="AK78" s="79">
        <f t="shared" si="20"/>
        <v>0</v>
      </c>
      <c r="AL78" s="79">
        <f t="shared" si="20"/>
        <v>0</v>
      </c>
    </row>
    <row r="79" spans="1:38" x14ac:dyDescent="0.25">
      <c r="A79" s="2">
        <f t="shared" si="15"/>
        <v>35</v>
      </c>
      <c r="B79" s="32">
        <v>25</v>
      </c>
      <c r="C79" s="78"/>
      <c r="D79" s="79">
        <f t="shared" si="17"/>
        <v>0</v>
      </c>
      <c r="E79" s="79">
        <f t="shared" si="20"/>
        <v>0</v>
      </c>
      <c r="F79" s="79">
        <f t="shared" si="20"/>
        <v>0</v>
      </c>
      <c r="G79" s="79">
        <f t="shared" si="20"/>
        <v>0</v>
      </c>
      <c r="H79" s="79">
        <f t="shared" si="20"/>
        <v>0</v>
      </c>
      <c r="I79" s="79">
        <f t="shared" si="20"/>
        <v>0</v>
      </c>
      <c r="J79" s="79">
        <f t="shared" si="20"/>
        <v>0</v>
      </c>
      <c r="K79" s="79">
        <f t="shared" si="20"/>
        <v>0</v>
      </c>
      <c r="L79" s="79">
        <f t="shared" si="20"/>
        <v>0</v>
      </c>
      <c r="M79" s="79">
        <f t="shared" si="20"/>
        <v>0</v>
      </c>
      <c r="N79" s="79">
        <f t="shared" si="20"/>
        <v>0</v>
      </c>
      <c r="O79" s="79">
        <f t="shared" si="20"/>
        <v>0</v>
      </c>
      <c r="P79" s="79">
        <f t="shared" si="20"/>
        <v>0</v>
      </c>
      <c r="Q79" s="79">
        <f t="shared" si="20"/>
        <v>0</v>
      </c>
      <c r="R79" s="79">
        <f t="shared" si="20"/>
        <v>0</v>
      </c>
      <c r="S79" s="79">
        <f t="shared" si="20"/>
        <v>0</v>
      </c>
      <c r="T79" s="79">
        <f t="shared" si="20"/>
        <v>0</v>
      </c>
      <c r="U79" s="79">
        <f t="shared" si="20"/>
        <v>0</v>
      </c>
      <c r="V79" s="79">
        <f t="shared" si="20"/>
        <v>0</v>
      </c>
      <c r="W79" s="79">
        <f t="shared" si="20"/>
        <v>0</v>
      </c>
      <c r="X79" s="79">
        <f t="shared" si="20"/>
        <v>0</v>
      </c>
      <c r="Y79" s="79">
        <f t="shared" si="20"/>
        <v>0</v>
      </c>
      <c r="Z79" s="79">
        <f t="shared" si="20"/>
        <v>0</v>
      </c>
      <c r="AA79" s="79">
        <f t="shared" si="20"/>
        <v>0</v>
      </c>
      <c r="AB79" s="79">
        <f t="shared" si="20"/>
        <v>0</v>
      </c>
      <c r="AC79" s="79">
        <f t="shared" si="20"/>
        <v>0</v>
      </c>
      <c r="AD79" s="79">
        <f t="shared" si="20"/>
        <v>0</v>
      </c>
      <c r="AE79" s="79">
        <f t="shared" si="20"/>
        <v>0</v>
      </c>
      <c r="AF79" s="79">
        <f t="shared" si="20"/>
        <v>0</v>
      </c>
      <c r="AG79" s="79">
        <f t="shared" si="20"/>
        <v>0</v>
      </c>
      <c r="AH79" s="79">
        <f t="shared" si="20"/>
        <v>0</v>
      </c>
      <c r="AI79" s="79">
        <f t="shared" si="20"/>
        <v>0</v>
      </c>
      <c r="AJ79" s="79">
        <f t="shared" si="20"/>
        <v>0</v>
      </c>
      <c r="AK79" s="79">
        <f t="shared" si="20"/>
        <v>0</v>
      </c>
      <c r="AL79" s="79">
        <f t="shared" si="20"/>
        <v>0</v>
      </c>
    </row>
    <row r="80" spans="1:38" x14ac:dyDescent="0.25">
      <c r="A80" s="2">
        <f t="shared" si="15"/>
        <v>35</v>
      </c>
      <c r="B80" s="32">
        <v>26</v>
      </c>
      <c r="C80" s="78"/>
      <c r="D80" s="79">
        <f t="shared" si="17"/>
        <v>0</v>
      </c>
      <c r="E80" s="79">
        <f t="shared" si="20"/>
        <v>0</v>
      </c>
      <c r="F80" s="79">
        <f t="shared" si="20"/>
        <v>0</v>
      </c>
      <c r="G80" s="79">
        <f t="shared" si="20"/>
        <v>0</v>
      </c>
      <c r="H80" s="79">
        <f t="shared" si="20"/>
        <v>0</v>
      </c>
      <c r="I80" s="79">
        <f t="shared" si="20"/>
        <v>0</v>
      </c>
      <c r="J80" s="79">
        <f t="shared" si="20"/>
        <v>0</v>
      </c>
      <c r="K80" s="79">
        <f t="shared" si="20"/>
        <v>0</v>
      </c>
      <c r="L80" s="79">
        <f t="shared" si="20"/>
        <v>0</v>
      </c>
      <c r="M80" s="79">
        <f t="shared" si="20"/>
        <v>0</v>
      </c>
      <c r="N80" s="79">
        <f t="shared" si="20"/>
        <v>0</v>
      </c>
      <c r="O80" s="79">
        <f t="shared" si="20"/>
        <v>0</v>
      </c>
      <c r="P80" s="79">
        <f t="shared" si="20"/>
        <v>0</v>
      </c>
      <c r="Q80" s="79">
        <f t="shared" si="20"/>
        <v>0</v>
      </c>
      <c r="R80" s="79">
        <f t="shared" si="20"/>
        <v>0</v>
      </c>
      <c r="S80" s="79">
        <f t="shared" si="20"/>
        <v>0</v>
      </c>
      <c r="T80" s="79">
        <f t="shared" si="20"/>
        <v>0</v>
      </c>
      <c r="U80" s="79">
        <f t="shared" si="20"/>
        <v>0</v>
      </c>
      <c r="V80" s="79">
        <f t="shared" si="20"/>
        <v>0</v>
      </c>
      <c r="W80" s="79">
        <f t="shared" si="20"/>
        <v>0</v>
      </c>
      <c r="X80" s="79">
        <f t="shared" si="20"/>
        <v>0</v>
      </c>
      <c r="Y80" s="79">
        <f t="shared" si="20"/>
        <v>0</v>
      </c>
      <c r="Z80" s="79">
        <f t="shared" si="20"/>
        <v>0</v>
      </c>
      <c r="AA80" s="79">
        <f t="shared" si="20"/>
        <v>0</v>
      </c>
      <c r="AB80" s="79">
        <f t="shared" si="20"/>
        <v>0</v>
      </c>
      <c r="AC80" s="79">
        <f t="shared" si="20"/>
        <v>0</v>
      </c>
      <c r="AD80" s="79">
        <f t="shared" si="20"/>
        <v>0</v>
      </c>
      <c r="AE80" s="79">
        <f t="shared" si="20"/>
        <v>0</v>
      </c>
      <c r="AF80" s="79">
        <f t="shared" si="20"/>
        <v>0</v>
      </c>
      <c r="AG80" s="79">
        <f t="shared" si="20"/>
        <v>0</v>
      </c>
      <c r="AH80" s="79">
        <f t="shared" si="20"/>
        <v>0</v>
      </c>
      <c r="AI80" s="79">
        <f t="shared" si="20"/>
        <v>0</v>
      </c>
      <c r="AJ80" s="79">
        <f t="shared" si="20"/>
        <v>0</v>
      </c>
      <c r="AK80" s="79">
        <f t="shared" si="20"/>
        <v>0</v>
      </c>
      <c r="AL80" s="79">
        <f t="shared" si="20"/>
        <v>0</v>
      </c>
    </row>
    <row r="81" spans="1:38" x14ac:dyDescent="0.25">
      <c r="A81" s="2">
        <f t="shared" si="15"/>
        <v>35</v>
      </c>
      <c r="B81" s="32">
        <v>27</v>
      </c>
      <c r="C81" s="78"/>
      <c r="D81" s="79">
        <f t="shared" si="17"/>
        <v>0</v>
      </c>
      <c r="E81" s="79">
        <f t="shared" si="20"/>
        <v>0</v>
      </c>
      <c r="F81" s="79">
        <f t="shared" si="20"/>
        <v>0</v>
      </c>
      <c r="G81" s="79">
        <f t="shared" si="20"/>
        <v>0</v>
      </c>
      <c r="H81" s="79">
        <f t="shared" si="20"/>
        <v>0</v>
      </c>
      <c r="I81" s="79">
        <f t="shared" si="20"/>
        <v>0</v>
      </c>
      <c r="J81" s="79">
        <f t="shared" si="20"/>
        <v>0</v>
      </c>
      <c r="K81" s="79">
        <f t="shared" si="20"/>
        <v>0</v>
      </c>
      <c r="L81" s="79">
        <f t="shared" si="20"/>
        <v>0</v>
      </c>
      <c r="M81" s="79">
        <f t="shared" si="20"/>
        <v>0</v>
      </c>
      <c r="N81" s="79">
        <f t="shared" si="20"/>
        <v>0</v>
      </c>
      <c r="O81" s="79">
        <f t="shared" si="20"/>
        <v>0</v>
      </c>
      <c r="P81" s="79">
        <f t="shared" si="20"/>
        <v>0</v>
      </c>
      <c r="Q81" s="79">
        <f t="shared" si="20"/>
        <v>0</v>
      </c>
      <c r="R81" s="79">
        <f t="shared" si="20"/>
        <v>0</v>
      </c>
      <c r="S81" s="79">
        <f t="shared" si="20"/>
        <v>0</v>
      </c>
      <c r="T81" s="79">
        <f t="shared" si="20"/>
        <v>0</v>
      </c>
      <c r="U81" s="79">
        <f t="shared" si="20"/>
        <v>0</v>
      </c>
      <c r="V81" s="79">
        <f t="shared" si="20"/>
        <v>0</v>
      </c>
      <c r="W81" s="79">
        <f t="shared" si="20"/>
        <v>0</v>
      </c>
      <c r="X81" s="79">
        <f t="shared" si="20"/>
        <v>0</v>
      </c>
      <c r="Y81" s="79">
        <f t="shared" si="20"/>
        <v>0</v>
      </c>
      <c r="Z81" s="79">
        <f t="shared" si="20"/>
        <v>0</v>
      </c>
      <c r="AA81" s="79">
        <f t="shared" si="20"/>
        <v>0</v>
      </c>
      <c r="AB81" s="79">
        <f t="shared" si="20"/>
        <v>0</v>
      </c>
      <c r="AC81" s="79">
        <f t="shared" si="20"/>
        <v>0</v>
      </c>
      <c r="AD81" s="79">
        <f t="shared" si="20"/>
        <v>0</v>
      </c>
      <c r="AE81" s="79">
        <f t="shared" si="20"/>
        <v>0</v>
      </c>
      <c r="AF81" s="79">
        <f t="shared" si="20"/>
        <v>0</v>
      </c>
      <c r="AG81" s="79">
        <f t="shared" si="20"/>
        <v>0</v>
      </c>
      <c r="AH81" s="79">
        <f t="shared" si="20"/>
        <v>0</v>
      </c>
      <c r="AI81" s="79">
        <f t="shared" si="20"/>
        <v>0</v>
      </c>
      <c r="AJ81" s="79">
        <f t="shared" si="20"/>
        <v>0</v>
      </c>
      <c r="AK81" s="79">
        <f t="shared" si="20"/>
        <v>0</v>
      </c>
      <c r="AL81" s="79">
        <f t="shared" si="20"/>
        <v>0</v>
      </c>
    </row>
    <row r="82" spans="1:38" x14ac:dyDescent="0.25">
      <c r="A82" s="2">
        <f t="shared" si="15"/>
        <v>35</v>
      </c>
      <c r="B82" s="32">
        <v>28</v>
      </c>
      <c r="C82" s="78"/>
      <c r="D82" s="79">
        <f t="shared" si="17"/>
        <v>0</v>
      </c>
      <c r="E82" s="79">
        <f t="shared" si="20"/>
        <v>0</v>
      </c>
      <c r="F82" s="79">
        <f t="shared" si="20"/>
        <v>0</v>
      </c>
      <c r="G82" s="79">
        <f t="shared" si="20"/>
        <v>0</v>
      </c>
      <c r="H82" s="79">
        <f t="shared" si="20"/>
        <v>0</v>
      </c>
      <c r="I82" s="79">
        <f t="shared" si="20"/>
        <v>0</v>
      </c>
      <c r="J82" s="79">
        <f t="shared" si="20"/>
        <v>0</v>
      </c>
      <c r="K82" s="79">
        <f t="shared" si="20"/>
        <v>0</v>
      </c>
      <c r="L82" s="79">
        <f t="shared" si="20"/>
        <v>0</v>
      </c>
      <c r="M82" s="79">
        <f t="shared" si="20"/>
        <v>0</v>
      </c>
      <c r="N82" s="79">
        <f t="shared" si="20"/>
        <v>0</v>
      </c>
      <c r="O82" s="79">
        <f t="shared" si="20"/>
        <v>0</v>
      </c>
      <c r="P82" s="79">
        <f t="shared" si="20"/>
        <v>0</v>
      </c>
      <c r="Q82" s="79">
        <f t="shared" si="20"/>
        <v>0</v>
      </c>
      <c r="R82" s="79">
        <f t="shared" si="20"/>
        <v>0</v>
      </c>
      <c r="S82" s="79">
        <f t="shared" si="20"/>
        <v>0</v>
      </c>
      <c r="T82" s="79">
        <f t="shared" si="20"/>
        <v>0</v>
      </c>
      <c r="U82" s="79">
        <f t="shared" si="20"/>
        <v>0</v>
      </c>
      <c r="V82" s="79">
        <f t="shared" si="20"/>
        <v>0</v>
      </c>
      <c r="W82" s="79">
        <f t="shared" si="20"/>
        <v>0</v>
      </c>
      <c r="X82" s="79">
        <f t="shared" si="20"/>
        <v>0</v>
      </c>
      <c r="Y82" s="79">
        <f t="shared" si="20"/>
        <v>0</v>
      </c>
      <c r="Z82" s="79">
        <f t="shared" si="20"/>
        <v>0</v>
      </c>
      <c r="AA82" s="79">
        <f t="shared" si="20"/>
        <v>0</v>
      </c>
      <c r="AB82" s="79">
        <f t="shared" si="20"/>
        <v>0</v>
      </c>
      <c r="AC82" s="79">
        <f t="shared" si="20"/>
        <v>0</v>
      </c>
      <c r="AD82" s="79">
        <f t="shared" si="20"/>
        <v>0</v>
      </c>
      <c r="AE82" s="79">
        <f t="shared" si="20"/>
        <v>0</v>
      </c>
      <c r="AF82" s="79">
        <f t="shared" si="20"/>
        <v>0</v>
      </c>
      <c r="AG82" s="79">
        <f t="shared" si="20"/>
        <v>0</v>
      </c>
      <c r="AH82" s="79">
        <f t="shared" si="20"/>
        <v>0</v>
      </c>
      <c r="AI82" s="79">
        <f t="shared" si="20"/>
        <v>0</v>
      </c>
      <c r="AJ82" s="79">
        <f t="shared" si="20"/>
        <v>0</v>
      </c>
      <c r="AK82" s="79">
        <f t="shared" si="20"/>
        <v>0</v>
      </c>
      <c r="AL82" s="79">
        <f t="shared" si="20"/>
        <v>0</v>
      </c>
    </row>
    <row r="83" spans="1:38" x14ac:dyDescent="0.25">
      <c r="A83" s="2">
        <f t="shared" si="15"/>
        <v>35</v>
      </c>
      <c r="B83" s="32">
        <v>29</v>
      </c>
      <c r="C83" s="78"/>
      <c r="D83" s="79">
        <f t="shared" si="17"/>
        <v>0</v>
      </c>
      <c r="E83" s="79">
        <f t="shared" si="20"/>
        <v>0</v>
      </c>
      <c r="F83" s="79">
        <f t="shared" si="20"/>
        <v>0</v>
      </c>
      <c r="G83" s="79">
        <f t="shared" si="20"/>
        <v>0</v>
      </c>
      <c r="H83" s="79">
        <f t="shared" si="20"/>
        <v>0</v>
      </c>
      <c r="I83" s="79">
        <f t="shared" si="20"/>
        <v>0</v>
      </c>
      <c r="J83" s="79">
        <f t="shared" si="20"/>
        <v>0</v>
      </c>
      <c r="K83" s="79">
        <f t="shared" si="20"/>
        <v>0</v>
      </c>
      <c r="L83" s="79">
        <f t="shared" si="20"/>
        <v>0</v>
      </c>
      <c r="M83" s="79">
        <f t="shared" si="20"/>
        <v>0</v>
      </c>
      <c r="N83" s="79">
        <f t="shared" si="20"/>
        <v>0</v>
      </c>
      <c r="O83" s="79">
        <f t="shared" si="20"/>
        <v>0</v>
      </c>
      <c r="P83" s="79">
        <f t="shared" si="20"/>
        <v>0</v>
      </c>
      <c r="Q83" s="79">
        <f t="shared" si="20"/>
        <v>0</v>
      </c>
      <c r="R83" s="79">
        <f t="shared" si="20"/>
        <v>0</v>
      </c>
      <c r="S83" s="79">
        <f t="shared" si="20"/>
        <v>0</v>
      </c>
      <c r="T83" s="79">
        <f t="shared" si="20"/>
        <v>0</v>
      </c>
      <c r="U83" s="79">
        <f t="shared" si="20"/>
        <v>0</v>
      </c>
      <c r="V83" s="79">
        <f t="shared" si="20"/>
        <v>0</v>
      </c>
      <c r="W83" s="79">
        <f t="shared" si="20"/>
        <v>0</v>
      </c>
      <c r="X83" s="79">
        <f t="shared" si="20"/>
        <v>0</v>
      </c>
      <c r="Y83" s="79">
        <f t="shared" si="20"/>
        <v>0</v>
      </c>
      <c r="Z83" s="79">
        <f t="shared" si="20"/>
        <v>0</v>
      </c>
      <c r="AA83" s="79">
        <f t="shared" si="20"/>
        <v>0</v>
      </c>
      <c r="AB83" s="79">
        <f t="shared" si="20"/>
        <v>0</v>
      </c>
      <c r="AC83" s="79">
        <f t="shared" si="20"/>
        <v>0</v>
      </c>
      <c r="AD83" s="79">
        <f t="shared" si="20"/>
        <v>0</v>
      </c>
      <c r="AE83" s="79">
        <f t="shared" si="20"/>
        <v>0</v>
      </c>
      <c r="AF83" s="79">
        <f t="shared" si="20"/>
        <v>0</v>
      </c>
      <c r="AG83" s="79">
        <f t="shared" si="20"/>
        <v>0</v>
      </c>
      <c r="AH83" s="79">
        <f t="shared" si="20"/>
        <v>0</v>
      </c>
      <c r="AI83" s="79">
        <f t="shared" si="20"/>
        <v>0</v>
      </c>
      <c r="AJ83" s="79">
        <f t="shared" si="20"/>
        <v>0</v>
      </c>
      <c r="AK83" s="79">
        <f t="shared" si="20"/>
        <v>0</v>
      </c>
      <c r="AL83" s="79">
        <f t="shared" si="20"/>
        <v>0</v>
      </c>
    </row>
    <row r="84" spans="1:38" x14ac:dyDescent="0.25">
      <c r="A84" s="2">
        <f t="shared" si="15"/>
        <v>35</v>
      </c>
      <c r="B84" s="32">
        <v>30</v>
      </c>
      <c r="C84" s="78"/>
      <c r="D84" s="79">
        <f t="shared" si="17"/>
        <v>0</v>
      </c>
      <c r="E84" s="79">
        <f t="shared" si="20"/>
        <v>0</v>
      </c>
      <c r="F84" s="79">
        <f t="shared" si="20"/>
        <v>0</v>
      </c>
      <c r="G84" s="79">
        <f t="shared" si="20"/>
        <v>0</v>
      </c>
      <c r="H84" s="79">
        <f t="shared" si="20"/>
        <v>0</v>
      </c>
      <c r="I84" s="79">
        <f t="shared" si="20"/>
        <v>0</v>
      </c>
      <c r="J84" s="79">
        <f t="shared" si="20"/>
        <v>0</v>
      </c>
      <c r="K84" s="79">
        <f t="shared" si="20"/>
        <v>0</v>
      </c>
      <c r="L84" s="79">
        <f t="shared" si="20"/>
        <v>0</v>
      </c>
      <c r="M84" s="79">
        <f t="shared" si="20"/>
        <v>0</v>
      </c>
      <c r="N84" s="79">
        <f t="shared" si="20"/>
        <v>0</v>
      </c>
      <c r="O84" s="79">
        <f t="shared" si="20"/>
        <v>0</v>
      </c>
      <c r="P84" s="79">
        <f t="shared" si="20"/>
        <v>0</v>
      </c>
      <c r="Q84" s="79">
        <f t="shared" si="20"/>
        <v>0</v>
      </c>
      <c r="R84" s="79">
        <f t="shared" si="20"/>
        <v>0</v>
      </c>
      <c r="S84" s="79">
        <f t="shared" si="20"/>
        <v>0</v>
      </c>
      <c r="T84" s="79">
        <f t="shared" si="20"/>
        <v>0</v>
      </c>
      <c r="U84" s="79">
        <f t="shared" si="20"/>
        <v>0</v>
      </c>
      <c r="V84" s="79">
        <f t="shared" si="20"/>
        <v>0</v>
      </c>
      <c r="W84" s="79">
        <f t="shared" si="20"/>
        <v>0</v>
      </c>
      <c r="X84" s="79">
        <f t="shared" si="20"/>
        <v>0</v>
      </c>
      <c r="Y84" s="79">
        <f t="shared" si="20"/>
        <v>0</v>
      </c>
      <c r="Z84" s="79">
        <f t="shared" si="20"/>
        <v>0</v>
      </c>
      <c r="AA84" s="79">
        <f t="shared" si="20"/>
        <v>0</v>
      </c>
      <c r="AB84" s="79">
        <f t="shared" si="20"/>
        <v>0</v>
      </c>
      <c r="AC84" s="79">
        <f t="shared" si="20"/>
        <v>0</v>
      </c>
      <c r="AD84" s="79">
        <f t="shared" si="20"/>
        <v>0</v>
      </c>
      <c r="AE84" s="79">
        <f t="shared" si="20"/>
        <v>0</v>
      </c>
      <c r="AF84" s="79">
        <f t="shared" si="20"/>
        <v>0</v>
      </c>
      <c r="AG84" s="79">
        <f t="shared" si="20"/>
        <v>0</v>
      </c>
      <c r="AH84" s="79">
        <f t="shared" si="20"/>
        <v>0</v>
      </c>
      <c r="AI84" s="79">
        <f t="shared" si="20"/>
        <v>0</v>
      </c>
      <c r="AJ84" s="79">
        <f t="shared" si="20"/>
        <v>0</v>
      </c>
      <c r="AK84" s="79">
        <f t="shared" si="20"/>
        <v>0</v>
      </c>
      <c r="AL84" s="79">
        <f t="shared" si="20"/>
        <v>0</v>
      </c>
    </row>
    <row r="85" spans="1:38" x14ac:dyDescent="0.25">
      <c r="A85" s="2">
        <f t="shared" si="15"/>
        <v>35</v>
      </c>
      <c r="B85" s="32">
        <v>31</v>
      </c>
      <c r="C85" s="78"/>
      <c r="D85" s="79">
        <f t="shared" si="17"/>
        <v>0</v>
      </c>
      <c r="E85" s="79">
        <f t="shared" si="20"/>
        <v>0</v>
      </c>
      <c r="F85" s="79">
        <f t="shared" si="20"/>
        <v>0</v>
      </c>
      <c r="G85" s="79">
        <f t="shared" si="20"/>
        <v>0</v>
      </c>
      <c r="H85" s="79">
        <f t="shared" si="20"/>
        <v>0</v>
      </c>
      <c r="I85" s="79">
        <f t="shared" si="20"/>
        <v>0</v>
      </c>
      <c r="J85" s="79">
        <f t="shared" si="20"/>
        <v>0</v>
      </c>
      <c r="K85" s="79">
        <f t="shared" si="20"/>
        <v>0</v>
      </c>
      <c r="L85" s="79">
        <f t="shared" si="20"/>
        <v>0</v>
      </c>
      <c r="M85" s="79">
        <f t="shared" si="20"/>
        <v>0</v>
      </c>
      <c r="N85" s="79">
        <f t="shared" si="20"/>
        <v>0</v>
      </c>
      <c r="O85" s="79">
        <f t="shared" si="20"/>
        <v>0</v>
      </c>
      <c r="P85" s="79">
        <f t="shared" si="20"/>
        <v>0</v>
      </c>
      <c r="Q85" s="79">
        <f t="shared" si="20"/>
        <v>0</v>
      </c>
      <c r="R85" s="79">
        <f t="shared" si="20"/>
        <v>0</v>
      </c>
      <c r="S85" s="79">
        <f t="shared" si="20"/>
        <v>0</v>
      </c>
      <c r="T85" s="79">
        <f t="shared" ref="E85:AL89" si="21">IF(OR(T$54&lt;=$B85,T$54&gt;($B85+$F$52)),0,$C85/$F$52)</f>
        <v>0</v>
      </c>
      <c r="U85" s="79">
        <f t="shared" si="21"/>
        <v>0</v>
      </c>
      <c r="V85" s="79">
        <f t="shared" si="21"/>
        <v>0</v>
      </c>
      <c r="W85" s="79">
        <f t="shared" si="21"/>
        <v>0</v>
      </c>
      <c r="X85" s="79">
        <f t="shared" si="21"/>
        <v>0</v>
      </c>
      <c r="Y85" s="79">
        <f t="shared" si="21"/>
        <v>0</v>
      </c>
      <c r="Z85" s="79">
        <f t="shared" si="21"/>
        <v>0</v>
      </c>
      <c r="AA85" s="79">
        <f t="shared" si="21"/>
        <v>0</v>
      </c>
      <c r="AB85" s="79">
        <f t="shared" si="21"/>
        <v>0</v>
      </c>
      <c r="AC85" s="79">
        <f t="shared" si="21"/>
        <v>0</v>
      </c>
      <c r="AD85" s="79">
        <f t="shared" si="21"/>
        <v>0</v>
      </c>
      <c r="AE85" s="79">
        <f t="shared" si="21"/>
        <v>0</v>
      </c>
      <c r="AF85" s="79">
        <f t="shared" si="21"/>
        <v>0</v>
      </c>
      <c r="AG85" s="79">
        <f t="shared" si="21"/>
        <v>0</v>
      </c>
      <c r="AH85" s="79">
        <f t="shared" si="21"/>
        <v>0</v>
      </c>
      <c r="AI85" s="79">
        <f t="shared" si="21"/>
        <v>0</v>
      </c>
      <c r="AJ85" s="79">
        <f t="shared" si="21"/>
        <v>0</v>
      </c>
      <c r="AK85" s="79">
        <f t="shared" si="21"/>
        <v>0</v>
      </c>
      <c r="AL85" s="79">
        <f t="shared" si="21"/>
        <v>0</v>
      </c>
    </row>
    <row r="86" spans="1:38" x14ac:dyDescent="0.25">
      <c r="A86" s="2">
        <f t="shared" si="15"/>
        <v>35</v>
      </c>
      <c r="B86" s="32">
        <v>32</v>
      </c>
      <c r="C86" s="78"/>
      <c r="D86" s="79">
        <f t="shared" si="17"/>
        <v>0</v>
      </c>
      <c r="E86" s="79">
        <f t="shared" si="21"/>
        <v>0</v>
      </c>
      <c r="F86" s="79">
        <f t="shared" si="21"/>
        <v>0</v>
      </c>
      <c r="G86" s="79">
        <f t="shared" si="21"/>
        <v>0</v>
      </c>
      <c r="H86" s="79">
        <f t="shared" si="21"/>
        <v>0</v>
      </c>
      <c r="I86" s="79">
        <f t="shared" si="21"/>
        <v>0</v>
      </c>
      <c r="J86" s="79">
        <f t="shared" si="21"/>
        <v>0</v>
      </c>
      <c r="K86" s="79">
        <f t="shared" si="21"/>
        <v>0</v>
      </c>
      <c r="L86" s="79">
        <f t="shared" si="21"/>
        <v>0</v>
      </c>
      <c r="M86" s="79">
        <f t="shared" si="21"/>
        <v>0</v>
      </c>
      <c r="N86" s="79">
        <f t="shared" si="21"/>
        <v>0</v>
      </c>
      <c r="O86" s="79">
        <f t="shared" si="21"/>
        <v>0</v>
      </c>
      <c r="P86" s="79">
        <f t="shared" si="21"/>
        <v>0</v>
      </c>
      <c r="Q86" s="79">
        <f t="shared" si="21"/>
        <v>0</v>
      </c>
      <c r="R86" s="79">
        <f t="shared" si="21"/>
        <v>0</v>
      </c>
      <c r="S86" s="79">
        <f t="shared" si="21"/>
        <v>0</v>
      </c>
      <c r="T86" s="79">
        <f t="shared" si="21"/>
        <v>0</v>
      </c>
      <c r="U86" s="79">
        <f t="shared" si="21"/>
        <v>0</v>
      </c>
      <c r="V86" s="79">
        <f t="shared" si="21"/>
        <v>0</v>
      </c>
      <c r="W86" s="79">
        <f t="shared" si="21"/>
        <v>0</v>
      </c>
      <c r="X86" s="79">
        <f t="shared" si="21"/>
        <v>0</v>
      </c>
      <c r="Y86" s="79">
        <f t="shared" si="21"/>
        <v>0</v>
      </c>
      <c r="Z86" s="79">
        <f t="shared" si="21"/>
        <v>0</v>
      </c>
      <c r="AA86" s="79">
        <f t="shared" si="21"/>
        <v>0</v>
      </c>
      <c r="AB86" s="79">
        <f t="shared" si="21"/>
        <v>0</v>
      </c>
      <c r="AC86" s="79">
        <f t="shared" si="21"/>
        <v>0</v>
      </c>
      <c r="AD86" s="79">
        <f t="shared" si="21"/>
        <v>0</v>
      </c>
      <c r="AE86" s="79">
        <f t="shared" si="21"/>
        <v>0</v>
      </c>
      <c r="AF86" s="79">
        <f t="shared" si="21"/>
        <v>0</v>
      </c>
      <c r="AG86" s="79">
        <f t="shared" si="21"/>
        <v>0</v>
      </c>
      <c r="AH86" s="79">
        <f t="shared" si="21"/>
        <v>0</v>
      </c>
      <c r="AI86" s="79">
        <f t="shared" si="21"/>
        <v>0</v>
      </c>
      <c r="AJ86" s="79">
        <f t="shared" si="21"/>
        <v>0</v>
      </c>
      <c r="AK86" s="79">
        <f t="shared" si="21"/>
        <v>0</v>
      </c>
      <c r="AL86" s="79">
        <f t="shared" si="21"/>
        <v>0</v>
      </c>
    </row>
    <row r="87" spans="1:38" x14ac:dyDescent="0.25">
      <c r="A87" s="2">
        <f t="shared" si="15"/>
        <v>35</v>
      </c>
      <c r="B87" s="32">
        <v>33</v>
      </c>
      <c r="C87" s="78"/>
      <c r="D87" s="79">
        <f t="shared" si="17"/>
        <v>0</v>
      </c>
      <c r="E87" s="79">
        <f t="shared" si="21"/>
        <v>0</v>
      </c>
      <c r="F87" s="79">
        <f t="shared" si="21"/>
        <v>0</v>
      </c>
      <c r="G87" s="79">
        <f t="shared" si="21"/>
        <v>0</v>
      </c>
      <c r="H87" s="79">
        <f t="shared" si="21"/>
        <v>0</v>
      </c>
      <c r="I87" s="79">
        <f t="shared" si="21"/>
        <v>0</v>
      </c>
      <c r="J87" s="79">
        <f t="shared" si="21"/>
        <v>0</v>
      </c>
      <c r="K87" s="79">
        <f t="shared" si="21"/>
        <v>0</v>
      </c>
      <c r="L87" s="79">
        <f t="shared" si="21"/>
        <v>0</v>
      </c>
      <c r="M87" s="79">
        <f t="shared" si="21"/>
        <v>0</v>
      </c>
      <c r="N87" s="79">
        <f t="shared" si="21"/>
        <v>0</v>
      </c>
      <c r="O87" s="79">
        <f t="shared" si="21"/>
        <v>0</v>
      </c>
      <c r="P87" s="79">
        <f t="shared" si="21"/>
        <v>0</v>
      </c>
      <c r="Q87" s="79">
        <f t="shared" si="21"/>
        <v>0</v>
      </c>
      <c r="R87" s="79">
        <f t="shared" si="21"/>
        <v>0</v>
      </c>
      <c r="S87" s="79">
        <f t="shared" si="21"/>
        <v>0</v>
      </c>
      <c r="T87" s="79">
        <f t="shared" si="21"/>
        <v>0</v>
      </c>
      <c r="U87" s="79">
        <f t="shared" si="21"/>
        <v>0</v>
      </c>
      <c r="V87" s="79">
        <f t="shared" si="21"/>
        <v>0</v>
      </c>
      <c r="W87" s="79">
        <f t="shared" si="21"/>
        <v>0</v>
      </c>
      <c r="X87" s="79">
        <f t="shared" si="21"/>
        <v>0</v>
      </c>
      <c r="Y87" s="79">
        <f t="shared" si="21"/>
        <v>0</v>
      </c>
      <c r="Z87" s="79">
        <f t="shared" si="21"/>
        <v>0</v>
      </c>
      <c r="AA87" s="79">
        <f t="shared" si="21"/>
        <v>0</v>
      </c>
      <c r="AB87" s="79">
        <f t="shared" si="21"/>
        <v>0</v>
      </c>
      <c r="AC87" s="79">
        <f t="shared" si="21"/>
        <v>0</v>
      </c>
      <c r="AD87" s="79">
        <f t="shared" si="21"/>
        <v>0</v>
      </c>
      <c r="AE87" s="79">
        <f t="shared" si="21"/>
        <v>0</v>
      </c>
      <c r="AF87" s="79">
        <f t="shared" si="21"/>
        <v>0</v>
      </c>
      <c r="AG87" s="79">
        <f t="shared" si="21"/>
        <v>0</v>
      </c>
      <c r="AH87" s="79">
        <f t="shared" si="21"/>
        <v>0</v>
      </c>
      <c r="AI87" s="79">
        <f t="shared" si="21"/>
        <v>0</v>
      </c>
      <c r="AJ87" s="79">
        <f t="shared" si="21"/>
        <v>0</v>
      </c>
      <c r="AK87" s="79">
        <f t="shared" si="21"/>
        <v>0</v>
      </c>
      <c r="AL87" s="79">
        <f t="shared" si="21"/>
        <v>0</v>
      </c>
    </row>
    <row r="88" spans="1:38" x14ac:dyDescent="0.25">
      <c r="A88" s="2">
        <f t="shared" si="15"/>
        <v>35</v>
      </c>
      <c r="B88" s="32">
        <v>34</v>
      </c>
      <c r="C88" s="78"/>
      <c r="D88" s="79">
        <f t="shared" si="17"/>
        <v>0</v>
      </c>
      <c r="E88" s="79">
        <f t="shared" si="21"/>
        <v>0</v>
      </c>
      <c r="F88" s="79">
        <f t="shared" si="21"/>
        <v>0</v>
      </c>
      <c r="G88" s="79">
        <f t="shared" si="21"/>
        <v>0</v>
      </c>
      <c r="H88" s="79">
        <f t="shared" si="21"/>
        <v>0</v>
      </c>
      <c r="I88" s="79">
        <f t="shared" si="21"/>
        <v>0</v>
      </c>
      <c r="J88" s="79">
        <f t="shared" si="21"/>
        <v>0</v>
      </c>
      <c r="K88" s="79">
        <f t="shared" si="21"/>
        <v>0</v>
      </c>
      <c r="L88" s="79">
        <f t="shared" si="21"/>
        <v>0</v>
      </c>
      <c r="M88" s="79">
        <f t="shared" si="21"/>
        <v>0</v>
      </c>
      <c r="N88" s="79">
        <f t="shared" si="21"/>
        <v>0</v>
      </c>
      <c r="O88" s="79">
        <f t="shared" si="21"/>
        <v>0</v>
      </c>
      <c r="P88" s="79">
        <f t="shared" si="21"/>
        <v>0</v>
      </c>
      <c r="Q88" s="79">
        <f t="shared" si="21"/>
        <v>0</v>
      </c>
      <c r="R88" s="79">
        <f t="shared" si="21"/>
        <v>0</v>
      </c>
      <c r="S88" s="79">
        <f t="shared" si="21"/>
        <v>0</v>
      </c>
      <c r="T88" s="79">
        <f t="shared" si="21"/>
        <v>0</v>
      </c>
      <c r="U88" s="79">
        <f t="shared" si="21"/>
        <v>0</v>
      </c>
      <c r="V88" s="79">
        <f t="shared" si="21"/>
        <v>0</v>
      </c>
      <c r="W88" s="79">
        <f t="shared" si="21"/>
        <v>0</v>
      </c>
      <c r="X88" s="79">
        <f t="shared" si="21"/>
        <v>0</v>
      </c>
      <c r="Y88" s="79">
        <f t="shared" si="21"/>
        <v>0</v>
      </c>
      <c r="Z88" s="79">
        <f t="shared" si="21"/>
        <v>0</v>
      </c>
      <c r="AA88" s="79">
        <f t="shared" si="21"/>
        <v>0</v>
      </c>
      <c r="AB88" s="79">
        <f t="shared" si="21"/>
        <v>0</v>
      </c>
      <c r="AC88" s="79">
        <f t="shared" si="21"/>
        <v>0</v>
      </c>
      <c r="AD88" s="79">
        <f t="shared" si="21"/>
        <v>0</v>
      </c>
      <c r="AE88" s="79">
        <f t="shared" si="21"/>
        <v>0</v>
      </c>
      <c r="AF88" s="79">
        <f t="shared" si="21"/>
        <v>0</v>
      </c>
      <c r="AG88" s="79">
        <f t="shared" si="21"/>
        <v>0</v>
      </c>
      <c r="AH88" s="79">
        <f t="shared" si="21"/>
        <v>0</v>
      </c>
      <c r="AI88" s="79">
        <f t="shared" si="21"/>
        <v>0</v>
      </c>
      <c r="AJ88" s="79">
        <f t="shared" si="21"/>
        <v>0</v>
      </c>
      <c r="AK88" s="79">
        <f t="shared" si="21"/>
        <v>0</v>
      </c>
      <c r="AL88" s="79">
        <f t="shared" si="21"/>
        <v>0</v>
      </c>
    </row>
    <row r="89" spans="1:38" x14ac:dyDescent="0.25">
      <c r="A89" s="2">
        <f t="shared" si="15"/>
        <v>35</v>
      </c>
      <c r="B89" s="32">
        <v>35</v>
      </c>
      <c r="C89" s="78"/>
      <c r="D89" s="79">
        <f t="shared" si="17"/>
        <v>0</v>
      </c>
      <c r="E89" s="79">
        <f t="shared" si="21"/>
        <v>0</v>
      </c>
      <c r="F89" s="79">
        <f t="shared" si="21"/>
        <v>0</v>
      </c>
      <c r="G89" s="79">
        <f t="shared" si="21"/>
        <v>0</v>
      </c>
      <c r="H89" s="79">
        <f t="shared" si="21"/>
        <v>0</v>
      </c>
      <c r="I89" s="79">
        <f t="shared" si="21"/>
        <v>0</v>
      </c>
      <c r="J89" s="79">
        <f t="shared" si="21"/>
        <v>0</v>
      </c>
      <c r="K89" s="79">
        <f t="shared" si="21"/>
        <v>0</v>
      </c>
      <c r="L89" s="79">
        <f t="shared" si="21"/>
        <v>0</v>
      </c>
      <c r="M89" s="79">
        <f t="shared" si="21"/>
        <v>0</v>
      </c>
      <c r="N89" s="79">
        <f t="shared" si="21"/>
        <v>0</v>
      </c>
      <c r="O89" s="79">
        <f t="shared" si="21"/>
        <v>0</v>
      </c>
      <c r="P89" s="79">
        <f t="shared" si="21"/>
        <v>0</v>
      </c>
      <c r="Q89" s="79">
        <f t="shared" si="21"/>
        <v>0</v>
      </c>
      <c r="R89" s="79">
        <f t="shared" si="21"/>
        <v>0</v>
      </c>
      <c r="S89" s="79">
        <f t="shared" si="21"/>
        <v>0</v>
      </c>
      <c r="T89" s="79">
        <f t="shared" si="21"/>
        <v>0</v>
      </c>
      <c r="U89" s="79">
        <f t="shared" si="21"/>
        <v>0</v>
      </c>
      <c r="V89" s="79">
        <f t="shared" si="21"/>
        <v>0</v>
      </c>
      <c r="W89" s="79">
        <f t="shared" si="21"/>
        <v>0</v>
      </c>
      <c r="X89" s="79">
        <f t="shared" si="21"/>
        <v>0</v>
      </c>
      <c r="Y89" s="79">
        <f t="shared" si="21"/>
        <v>0</v>
      </c>
      <c r="Z89" s="79">
        <f t="shared" si="21"/>
        <v>0</v>
      </c>
      <c r="AA89" s="79">
        <f t="shared" si="21"/>
        <v>0</v>
      </c>
      <c r="AB89" s="79">
        <f t="shared" si="21"/>
        <v>0</v>
      </c>
      <c r="AC89" s="79">
        <f t="shared" si="21"/>
        <v>0</v>
      </c>
      <c r="AD89" s="79">
        <f t="shared" si="21"/>
        <v>0</v>
      </c>
      <c r="AE89" s="79">
        <f t="shared" si="21"/>
        <v>0</v>
      </c>
      <c r="AF89" s="79">
        <f t="shared" si="21"/>
        <v>0</v>
      </c>
      <c r="AG89" s="79">
        <f t="shared" si="21"/>
        <v>0</v>
      </c>
      <c r="AH89" s="79">
        <f t="shared" si="21"/>
        <v>0</v>
      </c>
      <c r="AI89" s="79">
        <f t="shared" si="21"/>
        <v>0</v>
      </c>
      <c r="AJ89" s="79">
        <f t="shared" si="21"/>
        <v>0</v>
      </c>
      <c r="AK89" s="79">
        <f t="shared" si="21"/>
        <v>0</v>
      </c>
      <c r="AL89" s="79">
        <f t="shared" si="21"/>
        <v>0</v>
      </c>
    </row>
    <row r="90" spans="1:38" x14ac:dyDescent="0.25">
      <c r="B90" s="77" t="s">
        <v>59</v>
      </c>
      <c r="C90" s="80">
        <f>SUM(D90:AL90)</f>
        <v>364608618.8376013</v>
      </c>
      <c r="D90" s="80">
        <f t="shared" ref="D90:AL90" si="22">SUM(D55:D89)</f>
        <v>0</v>
      </c>
      <c r="E90" s="80">
        <f t="shared" si="22"/>
        <v>0</v>
      </c>
      <c r="F90" s="80">
        <f t="shared" si="22"/>
        <v>0</v>
      </c>
      <c r="G90" s="80">
        <f t="shared" si="22"/>
        <v>2006771.1263653771</v>
      </c>
      <c r="H90" s="80">
        <f t="shared" si="22"/>
        <v>9238378.7889433149</v>
      </c>
      <c r="I90" s="80">
        <f t="shared" si="22"/>
        <v>14674739.849286277</v>
      </c>
      <c r="J90" s="80">
        <f t="shared" si="22"/>
        <v>22020245.332549814</v>
      </c>
      <c r="K90" s="80">
        <f t="shared" si="22"/>
        <v>24307241.255840085</v>
      </c>
      <c r="L90" s="80">
        <f t="shared" si="22"/>
        <v>24307241.255840085</v>
      </c>
      <c r="M90" s="80">
        <f t="shared" si="22"/>
        <v>24307241.255840085</v>
      </c>
      <c r="N90" s="80">
        <f t="shared" si="22"/>
        <v>24307241.255840085</v>
      </c>
      <c r="O90" s="80">
        <f t="shared" si="22"/>
        <v>24307241.255840085</v>
      </c>
      <c r="P90" s="80">
        <f t="shared" si="22"/>
        <v>24307241.255840085</v>
      </c>
      <c r="Q90" s="80">
        <f t="shared" si="22"/>
        <v>24307241.255840085</v>
      </c>
      <c r="R90" s="80">
        <f t="shared" si="22"/>
        <v>24307241.255840085</v>
      </c>
      <c r="S90" s="80">
        <f t="shared" si="22"/>
        <v>24307241.255840085</v>
      </c>
      <c r="T90" s="80">
        <f t="shared" si="22"/>
        <v>24307241.255840085</v>
      </c>
      <c r="U90" s="80">
        <f t="shared" si="22"/>
        <v>24307241.255840085</v>
      </c>
      <c r="V90" s="80">
        <f t="shared" si="22"/>
        <v>22300470.129474711</v>
      </c>
      <c r="W90" s="80">
        <f t="shared" si="22"/>
        <v>15068862.466896772</v>
      </c>
      <c r="X90" s="80">
        <f t="shared" si="22"/>
        <v>9632501.4065538086</v>
      </c>
      <c r="Y90" s="80">
        <f t="shared" si="22"/>
        <v>2286995.9232902718</v>
      </c>
      <c r="Z90" s="80">
        <f t="shared" si="22"/>
        <v>0</v>
      </c>
      <c r="AA90" s="80">
        <f t="shared" si="22"/>
        <v>0</v>
      </c>
      <c r="AB90" s="80">
        <f t="shared" si="22"/>
        <v>0</v>
      </c>
      <c r="AC90" s="80">
        <f t="shared" si="22"/>
        <v>0</v>
      </c>
      <c r="AD90" s="80">
        <f t="shared" si="22"/>
        <v>0</v>
      </c>
      <c r="AE90" s="80">
        <f t="shared" si="22"/>
        <v>0</v>
      </c>
      <c r="AF90" s="80">
        <f t="shared" si="22"/>
        <v>0</v>
      </c>
      <c r="AG90" s="80">
        <f t="shared" si="22"/>
        <v>0</v>
      </c>
      <c r="AH90" s="80">
        <f t="shared" si="22"/>
        <v>0</v>
      </c>
      <c r="AI90" s="80">
        <f t="shared" si="22"/>
        <v>0</v>
      </c>
      <c r="AJ90" s="80">
        <f t="shared" si="22"/>
        <v>0</v>
      </c>
      <c r="AK90" s="80">
        <f t="shared" si="22"/>
        <v>0</v>
      </c>
      <c r="AL90" s="80">
        <f t="shared" si="22"/>
        <v>0</v>
      </c>
    </row>
    <row r="92" spans="1:38" x14ac:dyDescent="0.25">
      <c r="B92" s="77" t="s">
        <v>59</v>
      </c>
      <c r="C92" s="80">
        <f t="shared" ref="C92:AL92" si="23">C47+C90</f>
        <v>696373171.7976017</v>
      </c>
      <c r="D92" s="80">
        <f t="shared" si="23"/>
        <v>0</v>
      </c>
      <c r="E92" s="80">
        <f t="shared" si="23"/>
        <v>2742354.9741721833</v>
      </c>
      <c r="F92" s="80">
        <f t="shared" si="23"/>
        <v>6011573.3844963592</v>
      </c>
      <c r="G92" s="80">
        <f t="shared" si="23"/>
        <v>10180292.830182763</v>
      </c>
      <c r="H92" s="80">
        <f t="shared" si="23"/>
        <v>19717805.268830799</v>
      </c>
      <c r="I92" s="80">
        <f t="shared" si="23"/>
        <v>27642978.123889979</v>
      </c>
      <c r="J92" s="80">
        <f t="shared" si="23"/>
        <v>35290827.450949833</v>
      </c>
      <c r="K92" s="80">
        <f t="shared" si="23"/>
        <v>37577823.3742401</v>
      </c>
      <c r="L92" s="80">
        <f t="shared" si="23"/>
        <v>37577823.3742401</v>
      </c>
      <c r="M92" s="80">
        <f t="shared" si="23"/>
        <v>37577823.3742401</v>
      </c>
      <c r="N92" s="80">
        <f t="shared" si="23"/>
        <v>37577823.3742401</v>
      </c>
      <c r="O92" s="80">
        <f t="shared" si="23"/>
        <v>37577823.3742401</v>
      </c>
      <c r="P92" s="80">
        <f t="shared" si="23"/>
        <v>37577823.3742401</v>
      </c>
      <c r="Q92" s="80">
        <f t="shared" si="23"/>
        <v>37577823.3742401</v>
      </c>
      <c r="R92" s="80">
        <f t="shared" si="23"/>
        <v>37577823.3742401</v>
      </c>
      <c r="S92" s="80">
        <f t="shared" si="23"/>
        <v>37577823.3742401</v>
      </c>
      <c r="T92" s="80">
        <f t="shared" si="23"/>
        <v>37577823.3742401</v>
      </c>
      <c r="U92" s="80">
        <f t="shared" si="23"/>
        <v>37577823.3742401</v>
      </c>
      <c r="V92" s="80">
        <f t="shared" si="23"/>
        <v>35571052.247874729</v>
      </c>
      <c r="W92" s="80">
        <f t="shared" si="23"/>
        <v>28339444.585296787</v>
      </c>
      <c r="X92" s="80">
        <f t="shared" si="23"/>
        <v>22903083.524953827</v>
      </c>
      <c r="Y92" s="80">
        <f t="shared" si="23"/>
        <v>15557578.041690288</v>
      </c>
      <c r="Z92" s="80">
        <f t="shared" si="23"/>
        <v>13270582.118400017</v>
      </c>
      <c r="AA92" s="80">
        <f t="shared" si="23"/>
        <v>13270582.118400017</v>
      </c>
      <c r="AB92" s="80">
        <f t="shared" si="23"/>
        <v>13270582.118400017</v>
      </c>
      <c r="AC92" s="80">
        <f t="shared" si="23"/>
        <v>13270582.118400017</v>
      </c>
      <c r="AD92" s="80">
        <f t="shared" si="23"/>
        <v>10528227.144227831</v>
      </c>
      <c r="AE92" s="80">
        <f t="shared" si="23"/>
        <v>7259008.7339036567</v>
      </c>
      <c r="AF92" s="80">
        <f t="shared" si="23"/>
        <v>5097060.4145826306</v>
      </c>
      <c r="AG92" s="80">
        <f t="shared" si="23"/>
        <v>2791155.6385125322</v>
      </c>
      <c r="AH92" s="80">
        <f t="shared" si="23"/>
        <v>302343.84379631461</v>
      </c>
      <c r="AI92" s="80">
        <f t="shared" si="23"/>
        <v>0</v>
      </c>
      <c r="AJ92" s="80">
        <f t="shared" si="23"/>
        <v>0</v>
      </c>
      <c r="AK92" s="80">
        <f t="shared" si="23"/>
        <v>0</v>
      </c>
      <c r="AL92" s="80">
        <f t="shared" si="23"/>
        <v>0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N93"/>
  <sheetViews>
    <sheetView showGridLines="0" topLeftCell="A49" workbookViewId="0">
      <selection activeCell="D54" sqref="D54"/>
    </sheetView>
  </sheetViews>
  <sheetFormatPr defaultRowHeight="15" x14ac:dyDescent="0.25"/>
  <cols>
    <col min="1" max="1" width="4.5703125" style="291" customWidth="1"/>
    <col min="2" max="2" width="39.7109375" style="291" customWidth="1"/>
    <col min="3" max="3" width="50.85546875" style="291" customWidth="1"/>
    <col min="4" max="12" width="8.42578125" style="291" customWidth="1"/>
    <col min="13" max="13" width="2.28515625" style="291" customWidth="1"/>
    <col min="14" max="14" width="11.85546875" style="291" customWidth="1"/>
    <col min="15" max="16384" width="9.140625" style="291"/>
  </cols>
  <sheetData>
    <row r="1" spans="2:13" s="338" customFormat="1" x14ac:dyDescent="0.25"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</row>
    <row r="2" spans="2:13" s="338" customFormat="1" x14ac:dyDescent="0.25"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</row>
    <row r="3" spans="2:13" s="262" customFormat="1" ht="26.25" customHeight="1" x14ac:dyDescent="0.25">
      <c r="L3" s="263" t="s">
        <v>490</v>
      </c>
    </row>
    <row r="4" spans="2:13" s="338" customFormat="1" ht="26.25" customHeight="1" x14ac:dyDescent="0.25">
      <c r="B4" s="337"/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</row>
    <row r="5" spans="2:13" s="338" customFormat="1" ht="26.25" customHeight="1" x14ac:dyDescent="0.25">
      <c r="B5" s="337"/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</row>
    <row r="6" spans="2:13" s="338" customFormat="1" ht="12.2" customHeight="1" x14ac:dyDescent="0.25">
      <c r="B6" s="337"/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</row>
    <row r="7" spans="2:13" s="338" customFormat="1" ht="12.2" customHeight="1" x14ac:dyDescent="0.25">
      <c r="B7" s="337"/>
      <c r="C7" s="337"/>
      <c r="D7" s="337"/>
      <c r="E7" s="337"/>
      <c r="F7" s="337"/>
      <c r="G7" s="337"/>
      <c r="H7" s="337"/>
      <c r="I7" s="339"/>
      <c r="J7" s="337"/>
      <c r="K7" s="337"/>
      <c r="L7" s="339" t="s">
        <v>641</v>
      </c>
    </row>
    <row r="8" spans="2:13" ht="38.25" customHeight="1" x14ac:dyDescent="0.25">
      <c r="B8" s="669" t="s">
        <v>642</v>
      </c>
      <c r="C8" s="670"/>
      <c r="D8" s="670"/>
      <c r="E8" s="670"/>
      <c r="F8" s="670"/>
      <c r="G8" s="670"/>
      <c r="H8" s="670"/>
      <c r="I8" s="670"/>
      <c r="J8" s="670"/>
      <c r="K8" s="670"/>
      <c r="L8" s="670"/>
    </row>
    <row r="9" spans="2:13" ht="16.5" customHeight="1" x14ac:dyDescent="0.25">
      <c r="B9" s="390" t="s">
        <v>643</v>
      </c>
      <c r="C9" s="391"/>
      <c r="D9" s="391"/>
      <c r="E9" s="391"/>
      <c r="F9" s="391"/>
      <c r="G9" s="391"/>
      <c r="H9" s="391"/>
      <c r="I9" s="391"/>
      <c r="J9" s="391"/>
      <c r="K9" s="391"/>
      <c r="L9" s="392"/>
    </row>
    <row r="10" spans="2:13" ht="16.5" customHeight="1" x14ac:dyDescent="0.25">
      <c r="B10" s="393" t="s">
        <v>644</v>
      </c>
      <c r="C10" s="394" t="s">
        <v>645</v>
      </c>
      <c r="D10" s="394" t="s">
        <v>646</v>
      </c>
      <c r="E10" s="394"/>
      <c r="F10" s="394"/>
      <c r="G10" s="394"/>
      <c r="H10" s="394"/>
      <c r="I10" s="394"/>
      <c r="J10" s="394"/>
      <c r="K10" s="394"/>
      <c r="L10" s="395"/>
    </row>
    <row r="11" spans="2:13" ht="20.25" customHeight="1" x14ac:dyDescent="0.25">
      <c r="B11" s="671" t="s">
        <v>74</v>
      </c>
      <c r="C11" s="672" t="s">
        <v>647</v>
      </c>
      <c r="D11" s="673">
        <v>3360</v>
      </c>
      <c r="E11" s="673"/>
      <c r="F11" s="673"/>
      <c r="G11" s="673">
        <v>3360</v>
      </c>
      <c r="H11" s="673"/>
      <c r="I11" s="673"/>
      <c r="J11" s="673">
        <v>3600</v>
      </c>
      <c r="K11" s="673"/>
      <c r="L11" s="673"/>
    </row>
    <row r="12" spans="2:13" ht="16.5" customHeight="1" x14ac:dyDescent="0.25">
      <c r="B12" s="671"/>
      <c r="C12" s="672"/>
      <c r="D12" s="266" t="s">
        <v>648</v>
      </c>
      <c r="E12" s="266" t="s">
        <v>649</v>
      </c>
      <c r="F12" s="396" t="s">
        <v>650</v>
      </c>
      <c r="G12" s="266" t="s">
        <v>648</v>
      </c>
      <c r="H12" s="266" t="s">
        <v>649</v>
      </c>
      <c r="I12" s="396" t="s">
        <v>650</v>
      </c>
      <c r="J12" s="266" t="s">
        <v>648</v>
      </c>
      <c r="K12" s="266" t="s">
        <v>649</v>
      </c>
      <c r="L12" s="266" t="s">
        <v>384</v>
      </c>
    </row>
    <row r="13" spans="2:13" x14ac:dyDescent="0.25">
      <c r="B13" s="667" t="s">
        <v>272</v>
      </c>
      <c r="C13" s="668"/>
      <c r="D13" s="668"/>
      <c r="E13" s="668"/>
      <c r="F13" s="668"/>
      <c r="G13" s="668"/>
      <c r="H13" s="668"/>
      <c r="I13" s="668"/>
      <c r="J13" s="668"/>
      <c r="K13" s="668"/>
      <c r="L13" s="668"/>
    </row>
    <row r="14" spans="2:13" x14ac:dyDescent="0.25">
      <c r="B14" s="273" t="s">
        <v>273</v>
      </c>
      <c r="C14" s="274"/>
      <c r="D14" s="274"/>
      <c r="E14" s="274"/>
      <c r="F14" s="274"/>
      <c r="G14" s="274"/>
      <c r="H14" s="274"/>
      <c r="I14" s="274"/>
      <c r="J14" s="274"/>
      <c r="K14" s="274"/>
      <c r="L14" s="274"/>
    </row>
    <row r="15" spans="2:13" x14ac:dyDescent="0.25">
      <c r="B15" s="271" t="s">
        <v>491</v>
      </c>
      <c r="C15" s="271" t="s">
        <v>651</v>
      </c>
      <c r="D15" s="278">
        <v>163.63</v>
      </c>
      <c r="E15" s="278">
        <v>0.14000000000000001</v>
      </c>
      <c r="F15" s="278">
        <v>22.91</v>
      </c>
      <c r="G15" s="278">
        <v>163.63</v>
      </c>
      <c r="H15" s="278">
        <v>0.14000000000000001</v>
      </c>
      <c r="I15" s="278">
        <v>22.91</v>
      </c>
      <c r="J15" s="278">
        <v>163.63</v>
      </c>
      <c r="K15" s="397">
        <v>0.14000000000000001</v>
      </c>
      <c r="L15" s="397">
        <v>22.91</v>
      </c>
    </row>
    <row r="16" spans="2:13" x14ac:dyDescent="0.25">
      <c r="B16" s="273" t="s">
        <v>276</v>
      </c>
      <c r="C16" s="274"/>
      <c r="D16" s="398"/>
      <c r="E16" s="398"/>
      <c r="F16" s="398"/>
      <c r="G16" s="398"/>
      <c r="H16" s="398"/>
      <c r="I16" s="398"/>
      <c r="J16" s="398"/>
      <c r="K16" s="399"/>
      <c r="L16" s="399"/>
    </row>
    <row r="17" spans="2:14" x14ac:dyDescent="0.25">
      <c r="B17" s="271" t="s">
        <v>277</v>
      </c>
      <c r="C17" s="271" t="s">
        <v>278</v>
      </c>
      <c r="D17" s="278">
        <v>145.35</v>
      </c>
      <c r="E17" s="278">
        <v>0.1</v>
      </c>
      <c r="F17" s="278">
        <v>14.54</v>
      </c>
      <c r="G17" s="278">
        <v>145.35</v>
      </c>
      <c r="H17" s="278">
        <v>0.1</v>
      </c>
      <c r="I17" s="278">
        <v>14.54</v>
      </c>
      <c r="J17" s="278">
        <v>145.35</v>
      </c>
      <c r="K17" s="400">
        <v>0.1</v>
      </c>
      <c r="L17" s="397">
        <v>14.54</v>
      </c>
    </row>
    <row r="18" spans="2:14" x14ac:dyDescent="0.25">
      <c r="B18" s="269" t="s">
        <v>288</v>
      </c>
      <c r="C18" s="269" t="s">
        <v>289</v>
      </c>
      <c r="D18" s="279">
        <v>7.65</v>
      </c>
      <c r="E18" s="279">
        <v>0.1</v>
      </c>
      <c r="F18" s="279">
        <v>0.76</v>
      </c>
      <c r="G18" s="279">
        <v>7.65</v>
      </c>
      <c r="H18" s="279">
        <v>0.1</v>
      </c>
      <c r="I18" s="279">
        <v>0.76</v>
      </c>
      <c r="J18" s="279">
        <v>7.65</v>
      </c>
      <c r="K18" s="399">
        <v>0.1</v>
      </c>
      <c r="L18" s="401">
        <v>0.76</v>
      </c>
    </row>
    <row r="19" spans="2:14" x14ac:dyDescent="0.25">
      <c r="B19" s="271" t="s">
        <v>290</v>
      </c>
      <c r="C19" s="271" t="s">
        <v>291</v>
      </c>
      <c r="D19" s="278">
        <v>137.55000000000001</v>
      </c>
      <c r="E19" s="278">
        <v>0.1</v>
      </c>
      <c r="F19" s="278">
        <v>13.75</v>
      </c>
      <c r="G19" s="278">
        <v>137.55000000000001</v>
      </c>
      <c r="H19" s="278">
        <v>0.1</v>
      </c>
      <c r="I19" s="278">
        <v>13.75</v>
      </c>
      <c r="J19" s="278">
        <v>137.55000000000001</v>
      </c>
      <c r="K19" s="400">
        <v>0.1</v>
      </c>
      <c r="L19" s="397">
        <v>13.75</v>
      </c>
    </row>
    <row r="20" spans="2:14" x14ac:dyDescent="0.25">
      <c r="B20" s="273" t="s">
        <v>292</v>
      </c>
      <c r="C20" s="274"/>
      <c r="D20" s="398"/>
      <c r="E20" s="398"/>
      <c r="F20" s="398"/>
      <c r="G20" s="398"/>
      <c r="H20" s="398"/>
      <c r="I20" s="398"/>
      <c r="J20" s="398"/>
      <c r="K20" s="399"/>
      <c r="L20" s="399"/>
    </row>
    <row r="21" spans="2:14" x14ac:dyDescent="0.25">
      <c r="B21" s="271" t="s">
        <v>420</v>
      </c>
      <c r="C21" s="271" t="s">
        <v>652</v>
      </c>
      <c r="D21" s="278">
        <v>332.04</v>
      </c>
      <c r="E21" s="278">
        <v>0.18</v>
      </c>
      <c r="F21" s="278">
        <v>59.77</v>
      </c>
      <c r="G21" s="278">
        <v>332.04</v>
      </c>
      <c r="H21" s="278">
        <v>0.18</v>
      </c>
      <c r="I21" s="278">
        <v>59.77</v>
      </c>
      <c r="J21" s="278">
        <v>332.04</v>
      </c>
      <c r="K21" s="400">
        <v>0.18</v>
      </c>
      <c r="L21" s="397">
        <v>59.77</v>
      </c>
    </row>
    <row r="22" spans="2:14" x14ac:dyDescent="0.25">
      <c r="B22" s="269" t="s">
        <v>295</v>
      </c>
      <c r="C22" s="269" t="s">
        <v>296</v>
      </c>
      <c r="D22" s="279">
        <v>15.14</v>
      </c>
      <c r="E22" s="279">
        <v>0.1</v>
      </c>
      <c r="F22" s="279">
        <v>1.51</v>
      </c>
      <c r="G22" s="279">
        <v>15.14</v>
      </c>
      <c r="H22" s="279">
        <v>0.1</v>
      </c>
      <c r="I22" s="279">
        <v>1.51</v>
      </c>
      <c r="J22" s="279">
        <v>15.14</v>
      </c>
      <c r="K22" s="399">
        <v>0.1</v>
      </c>
      <c r="L22" s="401">
        <v>1.51</v>
      </c>
    </row>
    <row r="23" spans="2:14" x14ac:dyDescent="0.25">
      <c r="B23" s="271" t="s">
        <v>290</v>
      </c>
      <c r="C23" s="271" t="s">
        <v>291</v>
      </c>
      <c r="D23" s="278">
        <v>137.55000000000001</v>
      </c>
      <c r="E23" s="278">
        <v>0.15</v>
      </c>
      <c r="F23" s="278">
        <v>20.63</v>
      </c>
      <c r="G23" s="278">
        <v>137.55000000000001</v>
      </c>
      <c r="H23" s="278">
        <v>0.15</v>
      </c>
      <c r="I23" s="278">
        <v>20.63</v>
      </c>
      <c r="J23" s="278">
        <v>137.55000000000001</v>
      </c>
      <c r="K23" s="400">
        <v>0.15</v>
      </c>
      <c r="L23" s="397">
        <v>20.63</v>
      </c>
    </row>
    <row r="24" spans="2:14" x14ac:dyDescent="0.25">
      <c r="B24" s="273" t="s">
        <v>297</v>
      </c>
      <c r="C24" s="274"/>
      <c r="D24" s="398"/>
      <c r="E24" s="398"/>
      <c r="F24" s="398"/>
      <c r="G24" s="398"/>
      <c r="H24" s="398"/>
      <c r="I24" s="398"/>
      <c r="J24" s="398"/>
      <c r="K24" s="399"/>
      <c r="L24" s="399"/>
    </row>
    <row r="25" spans="2:14" x14ac:dyDescent="0.25">
      <c r="B25" s="271" t="s">
        <v>653</v>
      </c>
      <c r="C25" s="271" t="s">
        <v>613</v>
      </c>
      <c r="D25" s="278">
        <v>235.36</v>
      </c>
      <c r="E25" s="278">
        <v>0.5</v>
      </c>
      <c r="F25" s="278">
        <v>117.68</v>
      </c>
      <c r="G25" s="278">
        <v>235.36</v>
      </c>
      <c r="H25" s="278">
        <v>0.4</v>
      </c>
      <c r="I25" s="278">
        <v>94.15</v>
      </c>
      <c r="J25" s="278">
        <v>235.36</v>
      </c>
      <c r="K25" s="400">
        <v>0.3</v>
      </c>
      <c r="L25" s="397">
        <v>70.61</v>
      </c>
    </row>
    <row r="26" spans="2:14" x14ac:dyDescent="0.25">
      <c r="B26" s="269" t="s">
        <v>614</v>
      </c>
      <c r="C26" s="269" t="s">
        <v>289</v>
      </c>
      <c r="D26" s="279">
        <v>7.65</v>
      </c>
      <c r="E26" s="279">
        <v>0.1</v>
      </c>
      <c r="F26" s="279">
        <v>0.76</v>
      </c>
      <c r="G26" s="279">
        <v>7.65</v>
      </c>
      <c r="H26" s="279">
        <v>0.1</v>
      </c>
      <c r="I26" s="279">
        <v>0.76</v>
      </c>
      <c r="J26" s="279">
        <v>7.65</v>
      </c>
      <c r="K26" s="399">
        <v>0.1</v>
      </c>
      <c r="L26" s="401">
        <v>0.76</v>
      </c>
    </row>
    <row r="27" spans="2:14" x14ac:dyDescent="0.25">
      <c r="B27" s="271" t="s">
        <v>288</v>
      </c>
      <c r="C27" s="271" t="s">
        <v>289</v>
      </c>
      <c r="D27" s="278">
        <v>7.65</v>
      </c>
      <c r="E27" s="278">
        <v>0.3</v>
      </c>
      <c r="F27" s="278">
        <v>2.29</v>
      </c>
      <c r="G27" s="278">
        <v>7.65</v>
      </c>
      <c r="H27" s="278">
        <v>0.3</v>
      </c>
      <c r="I27" s="278">
        <v>2.29</v>
      </c>
      <c r="J27" s="278">
        <v>7.65</v>
      </c>
      <c r="K27" s="400">
        <v>0.3</v>
      </c>
      <c r="L27" s="397">
        <v>2.29</v>
      </c>
      <c r="N27" s="666" t="s">
        <v>21</v>
      </c>
    </row>
    <row r="28" spans="2:14" x14ac:dyDescent="0.25">
      <c r="B28" s="269" t="s">
        <v>290</v>
      </c>
      <c r="C28" s="269" t="s">
        <v>291</v>
      </c>
      <c r="D28" s="279">
        <v>137.55000000000001</v>
      </c>
      <c r="E28" s="279">
        <v>0.1</v>
      </c>
      <c r="F28" s="279">
        <v>13.75</v>
      </c>
      <c r="G28" s="279">
        <v>137.55000000000001</v>
      </c>
      <c r="H28" s="279">
        <v>0.1</v>
      </c>
      <c r="I28" s="279">
        <v>13.75</v>
      </c>
      <c r="J28" s="279">
        <v>137.55000000000001</v>
      </c>
      <c r="K28" s="399">
        <v>0.1</v>
      </c>
      <c r="L28" s="401">
        <v>13.75</v>
      </c>
      <c r="N28" s="666"/>
    </row>
    <row r="29" spans="2:14" x14ac:dyDescent="0.25">
      <c r="B29" s="267" t="s">
        <v>306</v>
      </c>
      <c r="C29" s="268"/>
      <c r="D29" s="402"/>
      <c r="E29" s="402"/>
      <c r="F29" s="402"/>
      <c r="G29" s="402"/>
      <c r="H29" s="402"/>
      <c r="I29" s="402"/>
      <c r="J29" s="402"/>
      <c r="K29" s="400"/>
      <c r="L29" s="400"/>
      <c r="N29" s="666"/>
    </row>
    <row r="30" spans="2:14" x14ac:dyDescent="0.25">
      <c r="B30" s="269" t="s">
        <v>307</v>
      </c>
      <c r="C30" s="269" t="s">
        <v>615</v>
      </c>
      <c r="D30" s="279">
        <v>503.41</v>
      </c>
      <c r="E30" s="279">
        <v>0.36</v>
      </c>
      <c r="F30" s="279">
        <v>181.23</v>
      </c>
      <c r="G30" s="279">
        <v>503.41</v>
      </c>
      <c r="H30" s="279">
        <v>0.36</v>
      </c>
      <c r="I30" s="279">
        <v>181.23</v>
      </c>
      <c r="J30" s="279">
        <v>503.41</v>
      </c>
      <c r="K30" s="399">
        <v>0.36</v>
      </c>
      <c r="L30" s="401">
        <v>181.23</v>
      </c>
      <c r="N30" s="666"/>
    </row>
    <row r="31" spans="2:14" x14ac:dyDescent="0.25">
      <c r="B31" s="271" t="s">
        <v>288</v>
      </c>
      <c r="C31" s="271" t="s">
        <v>289</v>
      </c>
      <c r="D31" s="278">
        <v>7.65</v>
      </c>
      <c r="E31" s="278">
        <v>0.2</v>
      </c>
      <c r="F31" s="278">
        <v>1.53</v>
      </c>
      <c r="G31" s="278">
        <v>7.65</v>
      </c>
      <c r="H31" s="278">
        <v>0.2</v>
      </c>
      <c r="I31" s="278">
        <v>1.53</v>
      </c>
      <c r="J31" s="278">
        <v>7.65</v>
      </c>
      <c r="K31" s="400">
        <v>0.2</v>
      </c>
      <c r="L31" s="397">
        <v>1.53</v>
      </c>
      <c r="N31" s="666"/>
    </row>
    <row r="32" spans="2:14" x14ac:dyDescent="0.25">
      <c r="B32" s="269" t="s">
        <v>290</v>
      </c>
      <c r="C32" s="269" t="s">
        <v>291</v>
      </c>
      <c r="D32" s="279">
        <v>137.55000000000001</v>
      </c>
      <c r="E32" s="279">
        <v>0.3</v>
      </c>
      <c r="F32" s="279">
        <v>41.26</v>
      </c>
      <c r="G32" s="279">
        <v>137.55000000000001</v>
      </c>
      <c r="H32" s="279">
        <v>0.3</v>
      </c>
      <c r="I32" s="279">
        <v>41.26</v>
      </c>
      <c r="J32" s="279">
        <v>137.55000000000001</v>
      </c>
      <c r="K32" s="399">
        <v>0.3</v>
      </c>
      <c r="L32" s="401">
        <v>41.26</v>
      </c>
      <c r="N32" s="666"/>
    </row>
    <row r="33" spans="2:14" x14ac:dyDescent="0.25">
      <c r="B33" s="267" t="s">
        <v>616</v>
      </c>
      <c r="C33" s="268"/>
      <c r="D33" s="402"/>
      <c r="E33" s="402"/>
      <c r="F33" s="277">
        <v>492.39</v>
      </c>
      <c r="G33" s="402"/>
      <c r="H33" s="402"/>
      <c r="I33" s="277">
        <v>468.86</v>
      </c>
      <c r="J33" s="402"/>
      <c r="K33" s="400"/>
      <c r="L33" s="403">
        <v>445.32</v>
      </c>
      <c r="N33" s="666"/>
    </row>
    <row r="34" spans="2:14" x14ac:dyDescent="0.25">
      <c r="B34" s="667" t="s">
        <v>654</v>
      </c>
      <c r="C34" s="668"/>
      <c r="D34" s="668"/>
      <c r="E34" s="668"/>
      <c r="F34" s="668"/>
      <c r="G34" s="668"/>
      <c r="H34" s="668"/>
      <c r="I34" s="668"/>
      <c r="J34" s="668"/>
      <c r="K34" s="668"/>
      <c r="L34" s="668"/>
      <c r="N34" s="666"/>
    </row>
    <row r="35" spans="2:14" x14ac:dyDescent="0.25">
      <c r="B35" s="267" t="s">
        <v>318</v>
      </c>
      <c r="C35" s="268"/>
      <c r="D35" s="402"/>
      <c r="E35" s="402"/>
      <c r="F35" s="277"/>
      <c r="G35" s="402"/>
      <c r="H35" s="402"/>
      <c r="I35" s="277"/>
      <c r="J35" s="402"/>
      <c r="K35" s="402"/>
      <c r="L35" s="277"/>
      <c r="N35" s="666"/>
    </row>
    <row r="36" spans="2:14" x14ac:dyDescent="0.25">
      <c r="B36" s="269" t="s">
        <v>319</v>
      </c>
      <c r="C36" s="269" t="s">
        <v>320</v>
      </c>
      <c r="D36" s="279">
        <v>217.93</v>
      </c>
      <c r="E36" s="279">
        <v>0.7</v>
      </c>
      <c r="F36" s="279">
        <v>152.55000000000001</v>
      </c>
      <c r="G36" s="279">
        <v>217.93</v>
      </c>
      <c r="H36" s="279">
        <v>0.7</v>
      </c>
      <c r="I36" s="279">
        <v>152.55000000000001</v>
      </c>
      <c r="J36" s="279">
        <v>217.93</v>
      </c>
      <c r="K36" s="279">
        <v>0.7</v>
      </c>
      <c r="L36" s="279">
        <v>152.55000000000001</v>
      </c>
      <c r="N36" s="666"/>
    </row>
    <row r="37" spans="2:14" x14ac:dyDescent="0.25">
      <c r="B37" s="271" t="s">
        <v>655</v>
      </c>
      <c r="C37" s="271" t="s">
        <v>320</v>
      </c>
      <c r="D37" s="278">
        <v>1646</v>
      </c>
      <c r="E37" s="278">
        <v>0.4</v>
      </c>
      <c r="F37" s="278">
        <v>658.4</v>
      </c>
      <c r="G37" s="278">
        <v>1646</v>
      </c>
      <c r="H37" s="278">
        <v>0.4</v>
      </c>
      <c r="I37" s="278">
        <v>658.4</v>
      </c>
      <c r="J37" s="278">
        <v>1646</v>
      </c>
      <c r="K37" s="278">
        <v>0.4</v>
      </c>
      <c r="L37" s="278">
        <v>658.4</v>
      </c>
      <c r="N37" s="666"/>
    </row>
    <row r="38" spans="2:14" x14ac:dyDescent="0.25">
      <c r="B38" s="273" t="s">
        <v>495</v>
      </c>
      <c r="C38" s="274"/>
      <c r="D38" s="398"/>
      <c r="E38" s="398"/>
      <c r="F38" s="282"/>
      <c r="G38" s="398"/>
      <c r="H38" s="398"/>
      <c r="I38" s="398"/>
      <c r="J38" s="398"/>
      <c r="K38" s="398"/>
      <c r="L38" s="282"/>
    </row>
    <row r="39" spans="2:14" x14ac:dyDescent="0.25">
      <c r="B39" s="271" t="s">
        <v>656</v>
      </c>
      <c r="C39" s="271" t="s">
        <v>326</v>
      </c>
      <c r="D39" s="278">
        <v>4.5</v>
      </c>
      <c r="E39" s="278">
        <v>50</v>
      </c>
      <c r="F39" s="278">
        <v>225</v>
      </c>
      <c r="G39" s="278">
        <v>3.9</v>
      </c>
      <c r="H39" s="278">
        <v>50</v>
      </c>
      <c r="I39" s="278">
        <v>195</v>
      </c>
      <c r="J39" s="278">
        <v>6.36</v>
      </c>
      <c r="K39" s="278">
        <v>50</v>
      </c>
      <c r="L39" s="278">
        <v>318</v>
      </c>
    </row>
    <row r="40" spans="2:14" x14ac:dyDescent="0.25">
      <c r="B40" s="269" t="s">
        <v>657</v>
      </c>
      <c r="C40" s="269" t="s">
        <v>658</v>
      </c>
      <c r="D40" s="279">
        <v>2.8</v>
      </c>
      <c r="E40" s="279">
        <v>1</v>
      </c>
      <c r="F40" s="279">
        <v>2.8</v>
      </c>
      <c r="G40" s="279">
        <v>2.8</v>
      </c>
      <c r="H40" s="279">
        <v>1</v>
      </c>
      <c r="I40" s="279">
        <v>2.8</v>
      </c>
      <c r="J40" s="279">
        <v>2.8</v>
      </c>
      <c r="K40" s="279">
        <v>1</v>
      </c>
      <c r="L40" s="279">
        <v>2.8</v>
      </c>
    </row>
    <row r="41" spans="2:14" x14ac:dyDescent="0.25">
      <c r="B41" s="271" t="s">
        <v>659</v>
      </c>
      <c r="C41" s="271" t="s">
        <v>660</v>
      </c>
      <c r="D41" s="278">
        <v>1.4</v>
      </c>
      <c r="E41" s="278">
        <v>50</v>
      </c>
      <c r="F41" s="278">
        <v>70</v>
      </c>
      <c r="G41" s="278">
        <v>1.4</v>
      </c>
      <c r="H41" s="278">
        <v>50</v>
      </c>
      <c r="I41" s="278">
        <v>70</v>
      </c>
      <c r="J41" s="278">
        <v>1.4</v>
      </c>
      <c r="K41" s="278">
        <v>50</v>
      </c>
      <c r="L41" s="278">
        <v>70</v>
      </c>
    </row>
    <row r="42" spans="2:14" x14ac:dyDescent="0.25">
      <c r="B42" s="273" t="s">
        <v>327</v>
      </c>
      <c r="C42" s="274"/>
      <c r="D42" s="398"/>
      <c r="E42" s="398"/>
      <c r="F42" s="282"/>
      <c r="G42" s="398"/>
      <c r="H42" s="398"/>
      <c r="I42" s="398"/>
      <c r="J42" s="398"/>
      <c r="K42" s="398"/>
      <c r="L42" s="282"/>
    </row>
    <row r="43" spans="2:14" x14ac:dyDescent="0.25">
      <c r="B43" s="271" t="s">
        <v>620</v>
      </c>
      <c r="C43" s="271" t="s">
        <v>326</v>
      </c>
      <c r="D43" s="278">
        <v>10.78</v>
      </c>
      <c r="E43" s="278">
        <v>0.2</v>
      </c>
      <c r="F43" s="278">
        <v>2.16</v>
      </c>
      <c r="G43" s="278">
        <v>10.78</v>
      </c>
      <c r="H43" s="278">
        <v>0.2</v>
      </c>
      <c r="I43" s="278">
        <v>2.16</v>
      </c>
      <c r="J43" s="278">
        <v>10.78</v>
      </c>
      <c r="K43" s="278">
        <v>0.2</v>
      </c>
      <c r="L43" s="278">
        <v>2.16</v>
      </c>
    </row>
    <row r="44" spans="2:14" x14ac:dyDescent="0.25">
      <c r="B44" s="269" t="s">
        <v>330</v>
      </c>
      <c r="C44" s="269" t="s">
        <v>329</v>
      </c>
      <c r="D44" s="279">
        <v>309.47000000000003</v>
      </c>
      <c r="E44" s="279">
        <v>0.75</v>
      </c>
      <c r="F44" s="279">
        <v>232.1</v>
      </c>
      <c r="G44" s="279">
        <v>400.27</v>
      </c>
      <c r="H44" s="279">
        <v>0.75</v>
      </c>
      <c r="I44" s="279">
        <v>300.2</v>
      </c>
      <c r="J44" s="279">
        <v>309.47000000000003</v>
      </c>
      <c r="K44" s="279">
        <v>0.75</v>
      </c>
      <c r="L44" s="279">
        <v>232.1</v>
      </c>
    </row>
    <row r="45" spans="2:14" x14ac:dyDescent="0.25">
      <c r="B45" s="271" t="s">
        <v>331</v>
      </c>
      <c r="C45" s="271" t="s">
        <v>329</v>
      </c>
      <c r="D45" s="278">
        <v>17.32</v>
      </c>
      <c r="E45" s="278">
        <v>8.85</v>
      </c>
      <c r="F45" s="278">
        <v>153.26</v>
      </c>
      <c r="G45" s="278">
        <v>13</v>
      </c>
      <c r="H45" s="278">
        <v>10.029999999999999</v>
      </c>
      <c r="I45" s="278">
        <v>130.29</v>
      </c>
      <c r="J45" s="278">
        <v>13</v>
      </c>
      <c r="K45" s="278">
        <v>10.029999999999999</v>
      </c>
      <c r="L45" s="278">
        <v>130.29</v>
      </c>
    </row>
    <row r="46" spans="2:14" x14ac:dyDescent="0.25">
      <c r="B46" s="269" t="s">
        <v>332</v>
      </c>
      <c r="C46" s="269" t="s">
        <v>329</v>
      </c>
      <c r="D46" s="279">
        <v>68.23</v>
      </c>
      <c r="E46" s="279">
        <v>5.53</v>
      </c>
      <c r="F46" s="279">
        <v>377.3</v>
      </c>
      <c r="G46" s="279">
        <v>65.569999999999993</v>
      </c>
      <c r="H46" s="279">
        <v>5.51</v>
      </c>
      <c r="I46" s="279">
        <v>361.3</v>
      </c>
      <c r="J46" s="279">
        <v>57.48</v>
      </c>
      <c r="K46" s="279">
        <v>3.51</v>
      </c>
      <c r="L46" s="279">
        <v>201.77</v>
      </c>
    </row>
    <row r="47" spans="2:14" x14ac:dyDescent="0.25">
      <c r="B47" s="271" t="s">
        <v>661</v>
      </c>
      <c r="C47" s="271" t="s">
        <v>329</v>
      </c>
      <c r="D47" s="278">
        <v>18.739999999999998</v>
      </c>
      <c r="E47" s="278">
        <v>4</v>
      </c>
      <c r="F47" s="278">
        <v>74.97</v>
      </c>
      <c r="G47" s="278">
        <v>17.3</v>
      </c>
      <c r="H47" s="278">
        <v>5</v>
      </c>
      <c r="I47" s="278">
        <v>86.48</v>
      </c>
      <c r="J47" s="278">
        <v>17.3</v>
      </c>
      <c r="K47" s="278">
        <v>5</v>
      </c>
      <c r="L47" s="278">
        <v>86.48</v>
      </c>
    </row>
    <row r="48" spans="2:14" x14ac:dyDescent="0.25">
      <c r="B48" s="267" t="s">
        <v>622</v>
      </c>
      <c r="C48" s="268"/>
      <c r="D48" s="402"/>
      <c r="E48" s="402"/>
      <c r="F48" s="277">
        <v>1948.53</v>
      </c>
      <c r="G48" s="402"/>
      <c r="H48" s="402"/>
      <c r="I48" s="277">
        <v>1959.17</v>
      </c>
      <c r="J48" s="402"/>
      <c r="K48" s="402"/>
      <c r="L48" s="277">
        <v>1854.55</v>
      </c>
    </row>
    <row r="49" spans="2:12" x14ac:dyDescent="0.25">
      <c r="B49" s="667" t="s">
        <v>623</v>
      </c>
      <c r="C49" s="668"/>
      <c r="D49" s="668"/>
      <c r="E49" s="668"/>
      <c r="F49" s="668"/>
      <c r="G49" s="668"/>
      <c r="H49" s="668"/>
      <c r="I49" s="668"/>
      <c r="J49" s="668"/>
      <c r="K49" s="668"/>
      <c r="L49" s="668"/>
    </row>
    <row r="50" spans="2:12" x14ac:dyDescent="0.25">
      <c r="B50" s="269" t="s">
        <v>337</v>
      </c>
      <c r="C50" s="269" t="s">
        <v>58</v>
      </c>
      <c r="D50" s="279">
        <v>37.43</v>
      </c>
      <c r="E50" s="279">
        <v>1</v>
      </c>
      <c r="F50" s="279">
        <v>37.43</v>
      </c>
      <c r="G50" s="279">
        <v>37.43</v>
      </c>
      <c r="H50" s="279">
        <v>1</v>
      </c>
      <c r="I50" s="279">
        <v>37.43</v>
      </c>
      <c r="J50" s="279">
        <v>37.43</v>
      </c>
      <c r="K50" s="279">
        <v>1</v>
      </c>
      <c r="L50" s="279">
        <v>37.43</v>
      </c>
    </row>
    <row r="51" spans="2:12" x14ac:dyDescent="0.25">
      <c r="B51" s="271" t="s">
        <v>338</v>
      </c>
      <c r="C51" s="271" t="s">
        <v>58</v>
      </c>
      <c r="D51" s="278">
        <v>24.95</v>
      </c>
      <c r="E51" s="278">
        <v>1</v>
      </c>
      <c r="F51" s="278">
        <v>24.95</v>
      </c>
      <c r="G51" s="278">
        <v>24.95</v>
      </c>
      <c r="H51" s="278">
        <v>1</v>
      </c>
      <c r="I51" s="278">
        <v>24.95</v>
      </c>
      <c r="J51" s="278">
        <v>24.95</v>
      </c>
      <c r="K51" s="278">
        <v>1</v>
      </c>
      <c r="L51" s="278">
        <v>24.95</v>
      </c>
    </row>
    <row r="52" spans="2:12" x14ac:dyDescent="0.25">
      <c r="B52" s="269" t="s">
        <v>339</v>
      </c>
      <c r="C52" s="269" t="s">
        <v>58</v>
      </c>
      <c r="D52" s="279">
        <v>8.32</v>
      </c>
      <c r="E52" s="279">
        <v>1</v>
      </c>
      <c r="F52" s="279">
        <v>8.32</v>
      </c>
      <c r="G52" s="279">
        <v>8.32</v>
      </c>
      <c r="H52" s="279">
        <v>1</v>
      </c>
      <c r="I52" s="279">
        <v>8.32</v>
      </c>
      <c r="J52" s="279">
        <v>8.32</v>
      </c>
      <c r="K52" s="279">
        <v>1</v>
      </c>
      <c r="L52" s="279">
        <v>8.32</v>
      </c>
    </row>
    <row r="53" spans="2:12" x14ac:dyDescent="0.25">
      <c r="B53" s="271" t="s">
        <v>465</v>
      </c>
      <c r="C53" s="271" t="s">
        <v>58</v>
      </c>
      <c r="D53" s="278">
        <v>12.48</v>
      </c>
      <c r="E53" s="278">
        <v>1</v>
      </c>
      <c r="F53" s="278">
        <v>12.48</v>
      </c>
      <c r="G53" s="278">
        <v>12.48</v>
      </c>
      <c r="H53" s="278">
        <v>1</v>
      </c>
      <c r="I53" s="278">
        <v>12.48</v>
      </c>
      <c r="J53" s="278">
        <v>12.48</v>
      </c>
      <c r="K53" s="278">
        <v>1</v>
      </c>
      <c r="L53" s="278">
        <v>12.48</v>
      </c>
    </row>
    <row r="54" spans="2:12" x14ac:dyDescent="0.25">
      <c r="B54" s="269" t="s">
        <v>466</v>
      </c>
      <c r="C54" s="269" t="s">
        <v>58</v>
      </c>
      <c r="D54" s="279">
        <v>6.49</v>
      </c>
      <c r="E54" s="279">
        <v>1</v>
      </c>
      <c r="F54" s="279">
        <v>6.49</v>
      </c>
      <c r="G54" s="279">
        <v>6.49</v>
      </c>
      <c r="H54" s="279">
        <v>1</v>
      </c>
      <c r="I54" s="279">
        <v>6.49</v>
      </c>
      <c r="J54" s="279">
        <v>6.49</v>
      </c>
      <c r="K54" s="279">
        <v>1</v>
      </c>
      <c r="L54" s="279">
        <v>6.49</v>
      </c>
    </row>
    <row r="55" spans="2:12" x14ac:dyDescent="0.25">
      <c r="B55" s="271" t="s">
        <v>342</v>
      </c>
      <c r="C55" s="271" t="s">
        <v>58</v>
      </c>
      <c r="D55" s="278">
        <v>47.46</v>
      </c>
      <c r="E55" s="278">
        <v>1</v>
      </c>
      <c r="F55" s="278">
        <v>47.46</v>
      </c>
      <c r="G55" s="278">
        <v>47.46</v>
      </c>
      <c r="H55" s="278">
        <v>1</v>
      </c>
      <c r="I55" s="278">
        <v>47.46</v>
      </c>
      <c r="J55" s="278">
        <v>47.46</v>
      </c>
      <c r="K55" s="278">
        <v>1</v>
      </c>
      <c r="L55" s="278">
        <v>47.46</v>
      </c>
    </row>
    <row r="56" spans="2:12" x14ac:dyDescent="0.25">
      <c r="B56" s="269" t="s">
        <v>592</v>
      </c>
      <c r="C56" s="269" t="s">
        <v>591</v>
      </c>
      <c r="D56" s="404">
        <v>1.7999999999999999E-2</v>
      </c>
      <c r="E56" s="279">
        <v>1</v>
      </c>
      <c r="F56" s="279">
        <v>75.599999999999994</v>
      </c>
      <c r="G56" s="404">
        <v>1.7999999999999999E-2</v>
      </c>
      <c r="H56" s="279">
        <v>1</v>
      </c>
      <c r="I56" s="279">
        <v>75.599999999999994</v>
      </c>
      <c r="J56" s="404">
        <v>1.7999999999999999E-2</v>
      </c>
      <c r="K56" s="279">
        <v>1</v>
      </c>
      <c r="L56" s="279">
        <v>81</v>
      </c>
    </row>
    <row r="57" spans="2:12" x14ac:dyDescent="0.25">
      <c r="B57" s="267" t="s">
        <v>624</v>
      </c>
      <c r="C57" s="268"/>
      <c r="D57" s="405"/>
      <c r="E57" s="402"/>
      <c r="F57" s="277">
        <v>212.72</v>
      </c>
      <c r="G57" s="402"/>
      <c r="H57" s="402"/>
      <c r="I57" s="277">
        <v>212.72</v>
      </c>
      <c r="J57" s="402"/>
      <c r="K57" s="402"/>
      <c r="L57" s="277">
        <v>218.12</v>
      </c>
    </row>
    <row r="58" spans="2:12" x14ac:dyDescent="0.25">
      <c r="B58" s="667" t="s">
        <v>625</v>
      </c>
      <c r="C58" s="668"/>
      <c r="D58" s="668"/>
      <c r="E58" s="668"/>
      <c r="F58" s="668"/>
      <c r="G58" s="668"/>
      <c r="H58" s="668"/>
      <c r="I58" s="668"/>
      <c r="J58" s="668"/>
      <c r="K58" s="668"/>
      <c r="L58" s="668"/>
    </row>
    <row r="59" spans="2:12" x14ac:dyDescent="0.25">
      <c r="B59" s="271" t="s">
        <v>499</v>
      </c>
      <c r="C59" s="271" t="s">
        <v>320</v>
      </c>
      <c r="D59" s="278">
        <v>27.84</v>
      </c>
      <c r="E59" s="278">
        <v>3.36</v>
      </c>
      <c r="F59" s="278">
        <v>93.54</v>
      </c>
      <c r="G59" s="278">
        <v>27.84</v>
      </c>
      <c r="H59" s="278">
        <v>3.36</v>
      </c>
      <c r="I59" s="278">
        <v>93.54</v>
      </c>
      <c r="J59" s="278">
        <v>27.84</v>
      </c>
      <c r="K59" s="278">
        <v>3.6</v>
      </c>
      <c r="L59" s="278">
        <v>100.22</v>
      </c>
    </row>
    <row r="60" spans="2:12" x14ac:dyDescent="0.25">
      <c r="B60" s="269" t="s">
        <v>626</v>
      </c>
      <c r="C60" s="269" t="s">
        <v>320</v>
      </c>
      <c r="D60" s="279">
        <v>29.67</v>
      </c>
      <c r="E60" s="279">
        <v>3.36</v>
      </c>
      <c r="F60" s="279">
        <v>99.68</v>
      </c>
      <c r="G60" s="279">
        <v>29.67</v>
      </c>
      <c r="H60" s="279">
        <v>3.36</v>
      </c>
      <c r="I60" s="279">
        <v>99.68</v>
      </c>
      <c r="J60" s="279">
        <v>29.67</v>
      </c>
      <c r="K60" s="279">
        <v>3.6</v>
      </c>
      <c r="L60" s="279">
        <v>106.8</v>
      </c>
    </row>
    <row r="61" spans="2:12" x14ac:dyDescent="0.25">
      <c r="B61" s="271" t="s">
        <v>627</v>
      </c>
      <c r="C61" s="271" t="s">
        <v>320</v>
      </c>
      <c r="D61" s="278">
        <v>10</v>
      </c>
      <c r="E61" s="278">
        <v>3.36</v>
      </c>
      <c r="F61" s="278">
        <v>33.6</v>
      </c>
      <c r="G61" s="278">
        <v>10</v>
      </c>
      <c r="H61" s="278">
        <v>3.36</v>
      </c>
      <c r="I61" s="278">
        <v>33.6</v>
      </c>
      <c r="J61" s="278">
        <v>10</v>
      </c>
      <c r="K61" s="278">
        <v>3.6</v>
      </c>
      <c r="L61" s="278">
        <v>36</v>
      </c>
    </row>
    <row r="62" spans="2:12" x14ac:dyDescent="0.25">
      <c r="B62" s="269" t="s">
        <v>628</v>
      </c>
      <c r="C62" s="269" t="s">
        <v>320</v>
      </c>
      <c r="D62" s="279">
        <v>5.95</v>
      </c>
      <c r="E62" s="279">
        <v>3.36</v>
      </c>
      <c r="F62" s="279">
        <v>19.989999999999998</v>
      </c>
      <c r="G62" s="279">
        <v>5.95</v>
      </c>
      <c r="H62" s="279">
        <v>3.36</v>
      </c>
      <c r="I62" s="279">
        <v>19.989999999999998</v>
      </c>
      <c r="J62" s="279">
        <v>5.95</v>
      </c>
      <c r="K62" s="279">
        <v>3.6</v>
      </c>
      <c r="L62" s="279">
        <v>21.42</v>
      </c>
    </row>
    <row r="63" spans="2:12" x14ac:dyDescent="0.25">
      <c r="B63" s="267" t="s">
        <v>629</v>
      </c>
      <c r="C63" s="268"/>
      <c r="D63" s="402"/>
      <c r="E63" s="402"/>
      <c r="F63" s="277">
        <v>246.81</v>
      </c>
      <c r="G63" s="402"/>
      <c r="H63" s="402"/>
      <c r="I63" s="277">
        <v>246.81</v>
      </c>
      <c r="J63" s="402"/>
      <c r="K63" s="402"/>
      <c r="L63" s="277">
        <v>264.44</v>
      </c>
    </row>
    <row r="64" spans="2:12" x14ac:dyDescent="0.25">
      <c r="B64" s="656" t="s">
        <v>662</v>
      </c>
      <c r="C64" s="656"/>
      <c r="D64" s="665">
        <f>F33+F48+F57+F63</f>
        <v>2900.45</v>
      </c>
      <c r="E64" s="668"/>
      <c r="F64" s="668"/>
      <c r="G64" s="665">
        <f>I33+I48+I57+I63</f>
        <v>2887.56</v>
      </c>
      <c r="H64" s="668"/>
      <c r="I64" s="668"/>
      <c r="J64" s="665">
        <f>L33+L48+L57+L63</f>
        <v>2782.43</v>
      </c>
      <c r="K64" s="668"/>
      <c r="L64" s="668"/>
    </row>
    <row r="65" spans="2:12" x14ac:dyDescent="0.25">
      <c r="B65" s="661" t="s">
        <v>663</v>
      </c>
      <c r="C65" s="661"/>
      <c r="D65" s="662">
        <f>(D64/D11)*60</f>
        <v>51.793749999999996</v>
      </c>
      <c r="E65" s="662"/>
      <c r="F65" s="662"/>
      <c r="G65" s="662">
        <f>(G64/G11)*60</f>
        <v>51.563571428571429</v>
      </c>
      <c r="H65" s="662"/>
      <c r="I65" s="662"/>
      <c r="J65" s="662">
        <f>(J64/J11)*60</f>
        <v>46.37383333333333</v>
      </c>
      <c r="K65" s="662"/>
      <c r="L65" s="662"/>
    </row>
    <row r="66" spans="2:12" x14ac:dyDescent="0.25">
      <c r="B66" s="656" t="s">
        <v>664</v>
      </c>
      <c r="C66" s="656"/>
      <c r="D66" s="665">
        <f>(D11/60)*D69</f>
        <v>4200</v>
      </c>
      <c r="E66" s="665"/>
      <c r="F66" s="665"/>
      <c r="G66" s="665">
        <f>(G11/60)*G69</f>
        <v>4200</v>
      </c>
      <c r="H66" s="665"/>
      <c r="I66" s="665"/>
      <c r="J66" s="665">
        <f>(J11/60)*J69</f>
        <v>4500</v>
      </c>
      <c r="K66" s="665"/>
      <c r="L66" s="665"/>
    </row>
    <row r="67" spans="2:12" x14ac:dyDescent="0.25">
      <c r="B67" s="661" t="s">
        <v>665</v>
      </c>
      <c r="C67" s="661"/>
      <c r="D67" s="662">
        <f>D66-D64</f>
        <v>1299.5500000000002</v>
      </c>
      <c r="E67" s="662"/>
      <c r="F67" s="662"/>
      <c r="G67" s="662">
        <f>G66-G64</f>
        <v>1312.44</v>
      </c>
      <c r="H67" s="662"/>
      <c r="I67" s="662"/>
      <c r="J67" s="662">
        <f>J66-J64</f>
        <v>1717.5700000000002</v>
      </c>
      <c r="K67" s="662"/>
      <c r="L67" s="662"/>
    </row>
    <row r="68" spans="2:12" x14ac:dyDescent="0.25">
      <c r="B68" s="656" t="s">
        <v>666</v>
      </c>
      <c r="C68" s="656"/>
      <c r="D68" s="664">
        <f>D67/D66</f>
        <v>0.30941666666666673</v>
      </c>
      <c r="E68" s="664"/>
      <c r="F68" s="664"/>
      <c r="G68" s="664">
        <f>G67/G66</f>
        <v>0.31248571428571431</v>
      </c>
      <c r="H68" s="664"/>
      <c r="I68" s="664"/>
      <c r="J68" s="664">
        <f>J67/J66</f>
        <v>0.38168222222222226</v>
      </c>
      <c r="K68" s="664"/>
      <c r="L68" s="664"/>
    </row>
    <row r="69" spans="2:12" x14ac:dyDescent="0.25">
      <c r="B69" s="661" t="s">
        <v>667</v>
      </c>
      <c r="C69" s="661"/>
      <c r="D69" s="662">
        <v>75</v>
      </c>
      <c r="E69" s="662"/>
      <c r="F69" s="662"/>
      <c r="G69" s="662">
        <v>75</v>
      </c>
      <c r="H69" s="662"/>
      <c r="I69" s="662"/>
      <c r="J69" s="662">
        <v>75</v>
      </c>
      <c r="K69" s="662"/>
      <c r="L69" s="662"/>
    </row>
    <row r="70" spans="2:12" x14ac:dyDescent="0.25">
      <c r="B70" s="656" t="s">
        <v>668</v>
      </c>
      <c r="C70" s="656"/>
      <c r="D70" s="663">
        <v>639</v>
      </c>
      <c r="E70" s="663"/>
      <c r="F70" s="663"/>
      <c r="G70" s="663">
        <v>639</v>
      </c>
      <c r="H70" s="663"/>
      <c r="I70" s="663"/>
      <c r="J70" s="663">
        <v>639</v>
      </c>
      <c r="K70" s="663"/>
      <c r="L70" s="663"/>
    </row>
    <row r="71" spans="2:12" x14ac:dyDescent="0.25">
      <c r="B71" s="661" t="s">
        <v>669</v>
      </c>
      <c r="C71" s="661"/>
      <c r="D71" s="662">
        <v>660.55</v>
      </c>
      <c r="E71" s="662"/>
      <c r="F71" s="662"/>
      <c r="G71" s="662">
        <v>673.44</v>
      </c>
      <c r="H71" s="662"/>
      <c r="I71" s="662"/>
      <c r="J71" s="662">
        <v>1078.57</v>
      </c>
      <c r="K71" s="662"/>
      <c r="L71" s="662"/>
    </row>
    <row r="72" spans="2:12" x14ac:dyDescent="0.25">
      <c r="B72" s="656" t="s">
        <v>670</v>
      </c>
      <c r="C72" s="656"/>
      <c r="D72" s="657">
        <v>0.16</v>
      </c>
      <c r="E72" s="657"/>
      <c r="F72" s="657"/>
      <c r="G72" s="658">
        <v>0.16</v>
      </c>
      <c r="H72" s="658"/>
      <c r="I72" s="658"/>
      <c r="J72" s="658">
        <v>0.24</v>
      </c>
      <c r="K72" s="658"/>
      <c r="L72" s="658"/>
    </row>
    <row r="73" spans="2:12" x14ac:dyDescent="0.25">
      <c r="B73" s="661" t="s">
        <v>671</v>
      </c>
      <c r="C73" s="661"/>
      <c r="D73" s="662" t="s">
        <v>779</v>
      </c>
      <c r="E73" s="662"/>
      <c r="F73" s="662"/>
      <c r="G73" s="662" t="s">
        <v>261</v>
      </c>
      <c r="H73" s="662"/>
      <c r="I73" s="662"/>
      <c r="J73" s="662" t="s">
        <v>672</v>
      </c>
      <c r="K73" s="662"/>
      <c r="L73" s="662"/>
    </row>
    <row r="74" spans="2:12" x14ac:dyDescent="0.25">
      <c r="B74" s="656" t="s">
        <v>673</v>
      </c>
      <c r="C74" s="656"/>
      <c r="D74" s="656" t="s">
        <v>674</v>
      </c>
      <c r="E74" s="656"/>
      <c r="F74" s="656"/>
      <c r="G74" s="656"/>
      <c r="H74" s="656"/>
      <c r="I74" s="656"/>
      <c r="J74" s="656"/>
      <c r="K74" s="656"/>
      <c r="L74" s="656"/>
    </row>
    <row r="75" spans="2:12" ht="5.0999999999999996" customHeight="1" x14ac:dyDescent="0.25"/>
    <row r="76" spans="2:12" s="262" customFormat="1" ht="16.5" customHeight="1" x14ac:dyDescent="0.25">
      <c r="B76" s="659" t="s">
        <v>639</v>
      </c>
      <c r="C76" s="660"/>
      <c r="D76" s="660"/>
      <c r="E76" s="660"/>
      <c r="F76" s="660"/>
      <c r="G76" s="660"/>
      <c r="H76" s="660"/>
      <c r="I76" s="660"/>
    </row>
    <row r="77" spans="2:12" s="262" customFormat="1" ht="16.5" customHeight="1" x14ac:dyDescent="0.25">
      <c r="B77" s="262" t="s">
        <v>640</v>
      </c>
    </row>
    <row r="78" spans="2:12" ht="16.5" customHeight="1" x14ac:dyDescent="0.25"/>
    <row r="79" spans="2:12" s="262" customFormat="1" ht="12.75" x14ac:dyDescent="0.25">
      <c r="B79" s="334" t="s">
        <v>369</v>
      </c>
      <c r="C79" s="334"/>
      <c r="D79" s="334"/>
      <c r="E79" s="334"/>
      <c r="F79" s="334"/>
      <c r="G79" s="334"/>
      <c r="H79" s="334"/>
      <c r="I79" s="334"/>
      <c r="J79" s="334"/>
      <c r="K79" s="334"/>
      <c r="L79" s="336">
        <v>370</v>
      </c>
    </row>
    <row r="82" spans="2:3" s="389" customFormat="1" ht="12.75" x14ac:dyDescent="0.25">
      <c r="B82" s="432"/>
      <c r="C82" s="432"/>
    </row>
    <row r="83" spans="2:3" s="389" customFormat="1" ht="14.25" x14ac:dyDescent="0.25">
      <c r="B83" s="429" t="s">
        <v>260</v>
      </c>
      <c r="C83" s="444" t="str">
        <f>G73</f>
        <v>Transgênico</v>
      </c>
    </row>
    <row r="84" spans="2:3" s="389" customFormat="1" ht="14.25" x14ac:dyDescent="0.25">
      <c r="B84" s="433" t="s">
        <v>777</v>
      </c>
      <c r="C84" s="434">
        <f>'Banco de Dados - Grãos'!J8</f>
        <v>12372.830819756577</v>
      </c>
    </row>
    <row r="85" spans="2:3" s="389" customFormat="1" ht="14.25" x14ac:dyDescent="0.25">
      <c r="B85" s="429" t="s">
        <v>792</v>
      </c>
      <c r="C85" s="431">
        <f>'Banco de Dados - Grãos'!J9</f>
        <v>9750.3102206349686</v>
      </c>
    </row>
    <row r="86" spans="2:3" s="389" customFormat="1" ht="14.25" x14ac:dyDescent="0.25">
      <c r="B86" s="433" t="s">
        <v>780</v>
      </c>
      <c r="C86" s="434">
        <f>G64-I56</f>
        <v>2811.96</v>
      </c>
    </row>
    <row r="87" spans="2:3" s="389" customFormat="1" ht="14.25" x14ac:dyDescent="0.25">
      <c r="B87" s="429" t="s">
        <v>793</v>
      </c>
      <c r="C87" s="440">
        <f>G11/60</f>
        <v>56</v>
      </c>
    </row>
    <row r="88" spans="2:3" s="389" customFormat="1" ht="14.25" x14ac:dyDescent="0.25">
      <c r="B88" s="433" t="s">
        <v>794</v>
      </c>
      <c r="C88" s="434">
        <f>G69</f>
        <v>75</v>
      </c>
    </row>
    <row r="89" spans="2:3" s="389" customFormat="1" ht="14.25" x14ac:dyDescent="0.25">
      <c r="B89" s="429" t="s">
        <v>778</v>
      </c>
      <c r="C89" s="435">
        <v>4.0270000000000001</v>
      </c>
    </row>
    <row r="90" spans="2:3" s="389" customFormat="1" ht="14.25" x14ac:dyDescent="0.25">
      <c r="B90" s="433" t="s">
        <v>783</v>
      </c>
      <c r="C90" s="434"/>
    </row>
    <row r="91" spans="2:3" s="389" customFormat="1" ht="14.25" x14ac:dyDescent="0.25">
      <c r="B91" s="429" t="s">
        <v>784</v>
      </c>
      <c r="C91" s="435"/>
    </row>
    <row r="92" spans="2:3" s="389" customFormat="1" ht="14.25" x14ac:dyDescent="0.25">
      <c r="B92" s="433" t="s">
        <v>785</v>
      </c>
      <c r="C92" s="434"/>
    </row>
    <row r="93" spans="2:3" x14ac:dyDescent="0.25">
      <c r="B93" s="429" t="s">
        <v>873</v>
      </c>
      <c r="C93" s="611">
        <f>C86/C87</f>
        <v>50.213571428571427</v>
      </c>
    </row>
  </sheetData>
  <mergeCells count="54">
    <mergeCell ref="B13:L13"/>
    <mergeCell ref="B8:L8"/>
    <mergeCell ref="B11:B12"/>
    <mergeCell ref="C11:C12"/>
    <mergeCell ref="D11:F11"/>
    <mergeCell ref="G11:I11"/>
    <mergeCell ref="J11:L11"/>
    <mergeCell ref="N27:N37"/>
    <mergeCell ref="B34:L34"/>
    <mergeCell ref="B49:L49"/>
    <mergeCell ref="B58:L58"/>
    <mergeCell ref="B65:C65"/>
    <mergeCell ref="D65:F65"/>
    <mergeCell ref="G65:I65"/>
    <mergeCell ref="J65:L65"/>
    <mergeCell ref="B64:C64"/>
    <mergeCell ref="D64:F64"/>
    <mergeCell ref="G64:I64"/>
    <mergeCell ref="J64:L64"/>
    <mergeCell ref="B66:C66"/>
    <mergeCell ref="D66:F66"/>
    <mergeCell ref="G66:I66"/>
    <mergeCell ref="J66:L66"/>
    <mergeCell ref="B67:C67"/>
    <mergeCell ref="D67:F67"/>
    <mergeCell ref="G67:I67"/>
    <mergeCell ref="J67:L67"/>
    <mergeCell ref="B68:C68"/>
    <mergeCell ref="D68:F68"/>
    <mergeCell ref="G68:I68"/>
    <mergeCell ref="J68:L68"/>
    <mergeCell ref="B69:C69"/>
    <mergeCell ref="D69:F69"/>
    <mergeCell ref="G69:I69"/>
    <mergeCell ref="J69:L69"/>
    <mergeCell ref="B70:C70"/>
    <mergeCell ref="D70:F70"/>
    <mergeCell ref="G70:I70"/>
    <mergeCell ref="J70:L70"/>
    <mergeCell ref="B71:C71"/>
    <mergeCell ref="D71:F71"/>
    <mergeCell ref="G71:I71"/>
    <mergeCell ref="J71:L71"/>
    <mergeCell ref="B72:C72"/>
    <mergeCell ref="D72:F72"/>
    <mergeCell ref="G72:I72"/>
    <mergeCell ref="J72:L72"/>
    <mergeCell ref="B76:I76"/>
    <mergeCell ref="B73:C73"/>
    <mergeCell ref="D73:F73"/>
    <mergeCell ref="G73:I73"/>
    <mergeCell ref="J73:L73"/>
    <mergeCell ref="B74:C74"/>
    <mergeCell ref="D74:L7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16</vt:i4>
      </vt:variant>
      <vt:variant>
        <vt:lpstr>Intervalos Nomeados</vt:lpstr>
      </vt:variant>
      <vt:variant>
        <vt:i4>1</vt:i4>
      </vt:variant>
    </vt:vector>
  </HeadingPairs>
  <TitlesOfParts>
    <vt:vector size="17" baseType="lpstr">
      <vt:lpstr>Cronograma IUC</vt:lpstr>
      <vt:lpstr>Meio Ambiente</vt:lpstr>
      <vt:lpstr>Cronograma de Implantação</vt:lpstr>
      <vt:lpstr>Premissas Adotadas</vt:lpstr>
      <vt:lpstr>DemFin Proj</vt:lpstr>
      <vt:lpstr>DemFin Acio</vt:lpstr>
      <vt:lpstr>Financiamento</vt:lpstr>
      <vt:lpstr>Depreciação</vt:lpstr>
      <vt:lpstr>Soja - Agrianual_2020</vt:lpstr>
      <vt:lpstr>Milho - Agrianual_2020</vt:lpstr>
      <vt:lpstr>Algodão - Agrianual_2020</vt:lpstr>
      <vt:lpstr>Uva - Agrianual_2020</vt:lpstr>
      <vt:lpstr>Manga - Agrianual_2020</vt:lpstr>
      <vt:lpstr>Banana - Agrianual_2020</vt:lpstr>
      <vt:lpstr>Banco de Dados - Grãos</vt:lpstr>
      <vt:lpstr>Sistema de Irrigação</vt:lpstr>
      <vt:lpstr>'Algodão - Agrianual_2020'!Area_de_impressao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Gerson Vinicius Cestari Souza</dc:creator>
  <cp:lastModifiedBy>Bruno Melin</cp:lastModifiedBy>
  <dcterms:created xsi:type="dcterms:W3CDTF">2020-08-14T18:47:55Z</dcterms:created>
  <dcterms:modified xsi:type="dcterms:W3CDTF">2020-11-16T13:21:25Z</dcterms:modified>
</cp:coreProperties>
</file>